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COORDENACAO-GERAL-ADMINISTRACAO\DCA\02 - Gestões 008-2021\01 - GESTÃO DE CONTRATAÇÕES\Protocolos\19.995.499-7 - Contratação Postos de Motorista\4 - Pesquisa de Mercado\"/>
    </mc:Choice>
  </mc:AlternateContent>
  <bookViews>
    <workbookView xWindow="0" yWindow="0" windowWidth="28800" windowHeight="12435" tabRatio="846"/>
  </bookViews>
  <sheets>
    <sheet name="HEs+Diárias+AS" sheetId="1" r:id="rId1"/>
    <sheet name="Postos" sheetId="3" r:id="rId2"/>
    <sheet name="Pernoite, Alimentação e HE" sheetId="8" r:id="rId3"/>
    <sheet name="VT" sheetId="9" r:id="rId4"/>
    <sheet name="Uniforme" sheetId="10" r:id="rId5"/>
    <sheet name="Seguro Vida e Plano Saúde" sheetId="11" r:id="rId6"/>
  </sheets>
  <calcPr calcId="152511" iterateDelta="1E-4"/>
</workbook>
</file>

<file path=xl/calcChain.xml><?xml version="1.0" encoding="utf-8"?>
<calcChain xmlns="http://schemas.openxmlformats.org/spreadsheetml/2006/main">
  <c r="F8" i="1" l="1"/>
  <c r="E9" i="9"/>
  <c r="E23" i="8"/>
  <c r="D23" i="8"/>
  <c r="C98" i="3"/>
  <c r="C94" i="3"/>
  <c r="E9" i="1"/>
  <c r="G9" i="1"/>
  <c r="I9" i="1"/>
  <c r="K9" i="1"/>
  <c r="M9" i="1"/>
  <c r="Q9" i="1"/>
  <c r="O9" i="1"/>
  <c r="C18" i="3"/>
  <c r="K8" i="8" l="1"/>
  <c r="J8" i="8"/>
  <c r="B106" i="3" l="1"/>
  <c r="D12" i="10"/>
  <c r="F12" i="10" s="1"/>
  <c r="G12" i="10" s="1"/>
  <c r="D11" i="10"/>
  <c r="F11" i="10" s="1"/>
  <c r="G11" i="10" s="1"/>
  <c r="D10" i="10"/>
  <c r="F10" i="10" s="1"/>
  <c r="G10" i="10" s="1"/>
  <c r="D9" i="10"/>
  <c r="F9" i="10" s="1"/>
  <c r="G9" i="10" s="1"/>
  <c r="H9" i="1" l="1"/>
  <c r="F9" i="1"/>
  <c r="C25" i="3"/>
  <c r="D89" i="1"/>
  <c r="E89" i="1" s="1"/>
  <c r="D90" i="1"/>
  <c r="E90" i="1" s="1"/>
  <c r="D91" i="1"/>
  <c r="E91" i="1" s="1"/>
  <c r="E92" i="1"/>
  <c r="E93" i="1"/>
  <c r="D103" i="1"/>
  <c r="E103" i="1" s="1"/>
  <c r="D104" i="1"/>
  <c r="E104" i="1" s="1"/>
  <c r="D114" i="1"/>
  <c r="E114" i="1" s="1"/>
  <c r="D115" i="1"/>
  <c r="E115" i="1" s="1"/>
  <c r="D116" i="1"/>
  <c r="E116" i="1" s="1"/>
  <c r="E117" i="1"/>
  <c r="E118" i="1"/>
  <c r="E119" i="1"/>
  <c r="E126" i="1"/>
  <c r="D127" i="1"/>
  <c r="E127" i="1" s="1"/>
  <c r="D128" i="1"/>
  <c r="E128" i="1" s="1"/>
  <c r="E129" i="1"/>
  <c r="E130" i="1"/>
  <c r="E131" i="1"/>
  <c r="D139" i="1"/>
  <c r="E139" i="1" s="1"/>
  <c r="D140" i="1"/>
  <c r="E140" i="1" s="1"/>
  <c r="D141" i="1"/>
  <c r="E141" i="1" s="1"/>
  <c r="D142" i="1"/>
  <c r="E142" i="1" s="1"/>
  <c r="D143" i="1"/>
  <c r="E143" i="1" s="1"/>
  <c r="E153" i="1"/>
  <c r="D154" i="1"/>
  <c r="E154" i="1" s="1"/>
  <c r="D155" i="1"/>
  <c r="E155" i="1" s="1"/>
  <c r="D156" i="1"/>
  <c r="E156" i="1" s="1"/>
  <c r="D157" i="1"/>
  <c r="E157" i="1" s="1"/>
  <c r="E158" i="1"/>
  <c r="D169" i="1"/>
  <c r="E169" i="1" s="1"/>
  <c r="D170" i="1"/>
  <c r="E170" i="1" s="1"/>
  <c r="E180" i="1"/>
  <c r="D181" i="1"/>
  <c r="E181" i="1" s="1"/>
  <c r="D182" i="1"/>
  <c r="E182" i="1" s="1"/>
  <c r="D183" i="1"/>
  <c r="E183" i="1" s="1"/>
  <c r="D184" i="1"/>
  <c r="E184" i="1" s="1"/>
  <c r="E185" i="1"/>
  <c r="D192" i="1"/>
  <c r="E192" i="1" s="1"/>
  <c r="D193" i="1"/>
  <c r="E193" i="1" s="1"/>
  <c r="E194" i="1"/>
  <c r="D195" i="1"/>
  <c r="E195" i="1" s="1"/>
  <c r="D196" i="1"/>
  <c r="E196" i="1" s="1"/>
  <c r="E206" i="1"/>
  <c r="D207" i="1"/>
  <c r="E207" i="1" s="1"/>
  <c r="E208" i="1"/>
  <c r="D209" i="1"/>
  <c r="E209" i="1" s="1"/>
  <c r="D210" i="1"/>
  <c r="E210" i="1" s="1"/>
  <c r="C9" i="8"/>
  <c r="C25" i="8"/>
  <c r="C28" i="8"/>
  <c r="C31" i="8"/>
  <c r="C34" i="8"/>
  <c r="C37" i="8"/>
  <c r="B29" i="3"/>
  <c r="B30" i="3"/>
  <c r="B41" i="3"/>
  <c r="B54" i="3" s="1"/>
  <c r="C44" i="3"/>
  <c r="C47" i="3"/>
  <c r="B60" i="3"/>
  <c r="B61" i="3" s="1"/>
  <c r="B63" i="3"/>
  <c r="B65" i="3"/>
  <c r="B70" i="3"/>
  <c r="B71" i="3"/>
  <c r="B72" i="3"/>
  <c r="B73" i="3"/>
  <c r="B80" i="3"/>
  <c r="B81" i="3" s="1"/>
  <c r="B88" i="3" s="1"/>
  <c r="B84" i="3"/>
  <c r="B89" i="3" s="1"/>
  <c r="C84" i="3"/>
  <c r="C89" i="3" s="1"/>
  <c r="B87" i="3"/>
  <c r="C87" i="3"/>
  <c r="C95" i="3"/>
  <c r="C96" i="3"/>
  <c r="C97" i="3"/>
  <c r="B105" i="3"/>
  <c r="B7" i="11"/>
  <c r="K7" i="11"/>
  <c r="B13" i="11"/>
  <c r="K13" i="11" s="1"/>
  <c r="C13" i="11"/>
  <c r="D8" i="10"/>
  <c r="F8" i="10" s="1"/>
  <c r="G8" i="10" s="1"/>
  <c r="D13" i="10"/>
  <c r="F13" i="10" s="1"/>
  <c r="G13" i="10" s="1"/>
  <c r="E8" i="9"/>
  <c r="G14" i="10" l="1"/>
  <c r="C62" i="3"/>
  <c r="G9" i="8"/>
  <c r="E18" i="8" s="1"/>
  <c r="E19" i="8" s="1"/>
  <c r="D18" i="8"/>
  <c r="D19" i="8" s="1"/>
  <c r="D106" i="1"/>
  <c r="D107" i="1" s="1"/>
  <c r="D172" i="1"/>
  <c r="D173" i="1" s="1"/>
  <c r="D198" i="1"/>
  <c r="D200" i="1" s="1"/>
  <c r="D201" i="1" s="1"/>
  <c r="D186" i="1"/>
  <c r="D187" i="1" s="1"/>
  <c r="D132" i="1"/>
  <c r="D133" i="1" s="1"/>
  <c r="D95" i="1"/>
  <c r="D97" i="1" s="1"/>
  <c r="D98" i="1" s="1"/>
  <c r="C29" i="3"/>
  <c r="B75" i="3"/>
  <c r="B86" i="3" s="1"/>
  <c r="E7" i="9"/>
  <c r="C43" i="3" s="1"/>
  <c r="C65" i="3"/>
  <c r="C63" i="3"/>
  <c r="B64" i="3"/>
  <c r="B66" i="3" s="1"/>
  <c r="C30" i="3"/>
  <c r="C61" i="3"/>
  <c r="C74" i="3"/>
  <c r="C114" i="3"/>
  <c r="C60" i="3"/>
  <c r="B31" i="3"/>
  <c r="B53" i="3" s="1"/>
  <c r="D212" i="1"/>
  <c r="D213" i="1" s="1"/>
  <c r="D159" i="1"/>
  <c r="D160" i="1" s="1"/>
  <c r="D120" i="1"/>
  <c r="D121" i="1" s="1"/>
  <c r="D145" i="1"/>
  <c r="C31" i="3" l="1"/>
  <c r="C34" i="3" s="1"/>
  <c r="D24" i="8"/>
  <c r="D32" i="8" s="1"/>
  <c r="E24" i="8"/>
  <c r="E31" i="8" s="1"/>
  <c r="E42" i="8" s="1"/>
  <c r="D174" i="1"/>
  <c r="D175" i="1" s="1"/>
  <c r="D108" i="1"/>
  <c r="D109" i="1" s="1"/>
  <c r="D96" i="1"/>
  <c r="D199" i="1"/>
  <c r="C39" i="3"/>
  <c r="C36" i="3"/>
  <c r="D146" i="1"/>
  <c r="D163" i="1" s="1"/>
  <c r="D164" i="1" s="1"/>
  <c r="D147" i="1"/>
  <c r="D148" i="1" s="1"/>
  <c r="C33" i="3"/>
  <c r="C37" i="3"/>
  <c r="C40" i="3"/>
  <c r="C99" i="3"/>
  <c r="C38" i="3"/>
  <c r="C64" i="3"/>
  <c r="C66" i="3" s="1"/>
  <c r="C116" i="3" s="1"/>
  <c r="C46" i="3"/>
  <c r="C35" i="3" l="1"/>
  <c r="C53" i="3"/>
  <c r="C118" i="3"/>
  <c r="C51" i="3"/>
  <c r="C55" i="3" s="1"/>
  <c r="E33" i="8"/>
  <c r="D27" i="8"/>
  <c r="D37" i="8"/>
  <c r="D44" i="8" s="1"/>
  <c r="D36" i="8"/>
  <c r="D31" i="8"/>
  <c r="D42" i="8" s="1"/>
  <c r="E30" i="8"/>
  <c r="D25" i="8"/>
  <c r="D40" i="8" s="1"/>
  <c r="D30" i="8"/>
  <c r="D29" i="8"/>
  <c r="D39" i="8"/>
  <c r="D26" i="8"/>
  <c r="D35" i="8"/>
  <c r="D28" i="8"/>
  <c r="D41" i="8" s="1"/>
  <c r="D38" i="8"/>
  <c r="D33" i="8"/>
  <c r="D34" i="8"/>
  <c r="D43" i="8" s="1"/>
  <c r="E29" i="8"/>
  <c r="E26" i="8"/>
  <c r="E35" i="8"/>
  <c r="E27" i="8"/>
  <c r="E36" i="8"/>
  <c r="E39" i="8"/>
  <c r="E37" i="8"/>
  <c r="E44" i="8" s="1"/>
  <c r="E38" i="8"/>
  <c r="E34" i="8"/>
  <c r="E43" i="8" s="1"/>
  <c r="E32" i="8"/>
  <c r="E28" i="8"/>
  <c r="E41" i="8" s="1"/>
  <c r="E25" i="8"/>
  <c r="E40" i="8" s="1"/>
  <c r="C41" i="3"/>
  <c r="C54" i="3" s="1"/>
  <c r="C56" i="3" l="1"/>
  <c r="C71" i="3" s="1"/>
  <c r="C73" i="3"/>
  <c r="C80" i="3"/>
  <c r="C81" i="3" s="1"/>
  <c r="C88" i="3" s="1"/>
  <c r="C72" i="3" l="1"/>
  <c r="C70" i="3"/>
  <c r="C115" i="3"/>
  <c r="C75" i="3" l="1"/>
  <c r="C86" i="3" s="1"/>
  <c r="C90" i="3" s="1"/>
  <c r="C103" i="3" s="1"/>
  <c r="C117" i="3" l="1"/>
  <c r="C119" i="3" s="1"/>
  <c r="C104" i="3"/>
  <c r="C105" i="3" s="1"/>
  <c r="C107" i="3" l="1"/>
  <c r="C106" i="3"/>
  <c r="C108" i="3"/>
  <c r="C120" i="3" s="1"/>
  <c r="C123" i="3" l="1"/>
  <c r="C125" i="3" l="1"/>
  <c r="D8" i="1"/>
  <c r="D9" i="1" s="1"/>
  <c r="P8" i="1" l="1"/>
  <c r="P9" i="1" s="1"/>
  <c r="N8" i="1"/>
  <c r="J8" i="1"/>
  <c r="J9" i="1" s="1"/>
  <c r="L8" i="1"/>
  <c r="L9" i="1" s="1"/>
  <c r="N9" i="1" l="1"/>
  <c r="R9" i="1" s="1"/>
  <c r="S9" i="1" s="1"/>
</calcChain>
</file>

<file path=xl/sharedStrings.xml><?xml version="1.0" encoding="utf-8"?>
<sst xmlns="http://schemas.openxmlformats.org/spreadsheetml/2006/main" count="431" uniqueCount="256">
  <si>
    <t>ANEXO IV – PLANILHA ESTIMATIVA DE CUSTOS</t>
  </si>
  <si>
    <t>Planilha Estimativa de Custos</t>
  </si>
  <si>
    <t>PERNOITE</t>
  </si>
  <si>
    <t>ALIMENTAÇÃO</t>
  </si>
  <si>
    <t>#</t>
  </si>
  <si>
    <t>UNIDADE</t>
  </si>
  <si>
    <t>ISS</t>
  </si>
  <si>
    <t>VALOR/MÊS</t>
  </si>
  <si>
    <t>QTD</t>
  </si>
  <si>
    <t>R$</t>
  </si>
  <si>
    <t>R$/DIA</t>
  </si>
  <si>
    <t>R$/HORA</t>
  </si>
  <si>
    <t>TOTAL</t>
  </si>
  <si>
    <t>PARANÁ</t>
  </si>
  <si>
    <t>TOTAL GERAL</t>
  </si>
  <si>
    <t>ITEM 8 – GEXLON (PASSEIO/MOTORISTA/CONTÍNUO)</t>
  </si>
  <si>
    <t>Serviço de transporte de servidores e materiais (pequenos volumes), com disponibilização de veículo tipo passeio, de forma contínua e cessão de motorista devidamente habilitado (com dedicação exclusiva de mão de obra), para Gerência Executiva do INSS em Londrina/PR</t>
  </si>
  <si>
    <t>SUBITEM</t>
  </si>
  <si>
    <t>DESCRIÇÃO</t>
  </si>
  <si>
    <t>PREÇO UNITÁRIO</t>
  </si>
  <si>
    <t>VALOR TOTAL</t>
  </si>
  <si>
    <t>Disponibilização de um veículo de forma contínua (mês)</t>
  </si>
  <si>
    <t>Disponibilização de um motorista de forma contínua (mês)</t>
  </si>
  <si>
    <t>Valor do km rodado (no máximo, 3000 km/mês)</t>
  </si>
  <si>
    <t>Pernoite (no máximo, 4 por mês)</t>
  </si>
  <si>
    <t>Hora extra 50% (no máximo, 20h/mês)</t>
  </si>
  <si>
    <t>Pedágio (valor estimado mês)</t>
  </si>
  <si>
    <t xml:space="preserve">VALOR ESTIMADO MENSAL (Unidade de fornecimento): </t>
  </si>
  <si>
    <t xml:space="preserve">VALOR ESTIMADO MENSAL (2 veículos): </t>
  </si>
  <si>
    <t>VALOR ESTIMADO ANUAL:</t>
  </si>
  <si>
    <t>VALOR ESTIMADO ANUAL (2 VEÍCULOS):</t>
  </si>
  <si>
    <t>ITEM 9 – GEXLON (PASSEIO/CONTÍNUO)</t>
  </si>
  <si>
    <t>Serviço de transporte de servidores e materiais (pequenos volumes), com disponibilização de veículo tipo passeio, de forma contínua, para Gerência Executiva do INSS em Londrina/PR</t>
  </si>
  <si>
    <t>Disponibilização de um veículo de forma contínua</t>
  </si>
  <si>
    <t>ITEM 10 – GEXLON (PICKUP/MOTORISTA/POR DEMANDA)</t>
  </si>
  <si>
    <t>Serviço de transporte de servidores e materiais, com disponibilização de veículo tipo caminhonete/pick up, por demanda (tarefa), e cessão de motorista devidamente habilitado para Gerência Executiva do INSS em Londrina/PR</t>
  </si>
  <si>
    <t>Disponibilização de um veículo (4 diárias/mês)</t>
  </si>
  <si>
    <t>Disponibilização de um motorista (4 diárias/mês)</t>
  </si>
  <si>
    <t>Valor do km rodado (no máximo, 500 km/dia x 4 diárias/mês)</t>
  </si>
  <si>
    <t>Pernoite (no máximo, 2 por mês)</t>
  </si>
  <si>
    <t>Hora extra 50% (no máximo, 05h/mês)</t>
  </si>
  <si>
    <t>Pedágio (valor estimado dia)</t>
  </si>
  <si>
    <t>ITEM 11 – GEXLON (FURGÃO/MOTORISTA/POR DEMANDA)</t>
  </si>
  <si>
    <t>Serviço de transporte de servidores e materiais, com disponibilização de veículo tipo utilitário/furgão, por demanda (tarefa), e cessão de motorista devidamente habilitado para Gerência Executiva do INSS em Londrina/PR</t>
  </si>
  <si>
    <t>LOTE 2 (ITENS 12 E 13)</t>
  </si>
  <si>
    <t>ITEM 12 – GEXMRG (PASSEIO/MOTORISTA/CONTÍNUO)</t>
  </si>
  <si>
    <t>Serviço de transporte de servidores e materiais (pequenos volumes), com disponibilização de veículo tipo passeio, de forma contínua e cessão de motorista devidamente habilitado (com dedicação exclusiva de mão-de-obra), para Gerência Executiva do INSS em Maringá/PR.</t>
  </si>
  <si>
    <t>VALOR ESTIMADO ANUAL (2 veículos):</t>
  </si>
  <si>
    <t>ITEM 13 – GEXMRG (PASSEIO/MOTORISTA/POR DEMANDA)</t>
  </si>
  <si>
    <t>Serviço de transporte de servidores e materiais (pequenos volumes), com disponibilização de veículo tipo passeio, por demanda (tarefa), e cessão de motorista devidamente habilitado (sem dedicação exclusiva de mão-de-obra), para Gerência Executiva do INSS em Maringá/PR</t>
  </si>
  <si>
    <t>Disponibilização de um veículo (5 diárias/mês)</t>
  </si>
  <si>
    <t>Disponibilização de um motorista (5 diárias/mês)</t>
  </si>
  <si>
    <t>Valor do km rodado (no máximo, 500 km/dia x 5 diárias/mês)</t>
  </si>
  <si>
    <t>Valor total do Lote 02 (Itens 12 e 13)</t>
  </si>
  <si>
    <t>ITEM 14 – GEXMRG (PASSEIO/CONTÍNUO)</t>
  </si>
  <si>
    <t>Serviço de transporte de servidores e materiais (pequenos volumes), com disponibilização de veículo tipo passeio, de forma contínua, para Gerência Executiva do INSS em Maringá/PR</t>
  </si>
  <si>
    <t xml:space="preserve">VALOR ESTIMADO MENSAL (3 veículos): </t>
  </si>
  <si>
    <t>TOTAL (3 VEÍCULOS):</t>
  </si>
  <si>
    <t>ITEM 15 – GEXMRG (FURGÃO/MOTORISTA/POR DEMANDA)</t>
  </si>
  <si>
    <t>Serviço de transporte de servidores e materiais, com disponibilização de veículo tipo utilitário/furgão, por demanda (tarefa), e cessão de motorista devidamente habilitado para Gerência Executiva do INSS em Maringá/PR.</t>
  </si>
  <si>
    <t>ITEM 16 – GEXPGR (PASSEIO/MOTORISTA/CONTÍNUO)</t>
  </si>
  <si>
    <t>Serviço de transporte de servidores e materiais (pequenos volumes), com disponibilização de veículo tipo passeio, de forma contínua e cessão de motorista devidamente habilitado (com dedicação exclusiva de mão-de-obra), para Gerência Executiva do INSS em Ponta Grossa/PR</t>
  </si>
  <si>
    <t xml:space="preserve">VALOR ESTIMADO MENSAL (Unidade de fornecimento: </t>
  </si>
  <si>
    <t>TOTAL (2 VEÍCULOS):</t>
  </si>
  <si>
    <t>ITEM 17 – GEXPGR (FURGÃO/MOTORISTA/POR DEMANDA)</t>
  </si>
  <si>
    <t>Serviço de transporte de servidores e materiais, com disponibilização de veículo tipo utilitário/furgão por demanda (tarefa), e cessão de motorista devidamente habilitado para Gerência Executiva do INSS em Ponta Grossa/PR</t>
  </si>
  <si>
    <t>Disponibilização de um veículo (20 diárias/mês)</t>
  </si>
  <si>
    <t>Disponibilização de um motorista (20 diárias/mês)</t>
  </si>
  <si>
    <t>Valor do km rodado (no máximo, 500 km/dia x 20 diárias/mês)</t>
  </si>
  <si>
    <t>PLANILHA DE FORMAÇÃO DE PREÇOS DA MÃO DE OBRA</t>
  </si>
  <si>
    <t>Salário Normativo da Categoria:</t>
  </si>
  <si>
    <t>Data base da Categoria:</t>
  </si>
  <si>
    <t>Convenção Coletiva:</t>
  </si>
  <si>
    <t>CUSTOS</t>
  </si>
  <si>
    <t>Percentuais e Valores de Referência</t>
  </si>
  <si>
    <t>MOTORISTA (veículo passeio)</t>
  </si>
  <si>
    <t>MÓDULO 1: COMPOSIÇÃO DA REMUNERAÇÃO</t>
  </si>
  <si>
    <t xml:space="preserve">1 - Composição da Remuneração </t>
  </si>
  <si>
    <t>Valores/Percentuais</t>
  </si>
  <si>
    <t xml:space="preserve">Valor (R$) </t>
  </si>
  <si>
    <t xml:space="preserve">    A - Salário-Base</t>
  </si>
  <si>
    <t xml:space="preserve">    B - Adicional de Periculosidade</t>
  </si>
  <si>
    <t xml:space="preserve">    C - Adicional de Insalubridade</t>
  </si>
  <si>
    <t xml:space="preserve">    D - Adicional Noturno (20%)</t>
  </si>
  <si>
    <t xml:space="preserve">    E - Adicional de Hora Noturna Reduzida</t>
  </si>
  <si>
    <t xml:space="preserve">    F - Adicional de Hora Extra no Feriado Trabalhado (HE normal 50%)</t>
  </si>
  <si>
    <t xml:space="preserve">    E - Outros (especificar)</t>
  </si>
  <si>
    <t>Total</t>
  </si>
  <si>
    <t>MÓDULO 2: ENCARGOS E BENEFÍCIOS ANUAIS, MENSAIS E DIÁRIOS</t>
  </si>
  <si>
    <t>2.1 - 13º Salário, Férias e Adicional de Férias</t>
  </si>
  <si>
    <t>Percentuais</t>
  </si>
  <si>
    <t xml:space="preserve">    A - 13º salário</t>
  </si>
  <si>
    <t xml:space="preserve">    B - Férias e Adicional de Férias</t>
  </si>
  <si>
    <t>Subtotal</t>
  </si>
  <si>
    <r>
      <t xml:space="preserve">2.2 - GPS, FGTS e outras contribuições </t>
    </r>
    <r>
      <rPr>
        <b/>
        <sz val="10"/>
        <color indexed="10"/>
        <rFont val="Times New Roman"/>
        <family val="1"/>
      </rPr>
      <t>(Incide sobre os Módulos 1 e 2.1)</t>
    </r>
  </si>
  <si>
    <t xml:space="preserve">    A - INSS</t>
  </si>
  <si>
    <t xml:space="preserve">    B - Salário Educação</t>
  </si>
  <si>
    <t xml:space="preserve">    C - SAT</t>
  </si>
  <si>
    <t xml:space="preserve">    D - SESI ou SESC</t>
  </si>
  <si>
    <t xml:space="preserve">    E - SENAI ou SENAC</t>
  </si>
  <si>
    <t xml:space="preserve">    F - SEBRAE</t>
  </si>
  <si>
    <t xml:space="preserve">    G - INCRA</t>
  </si>
  <si>
    <t xml:space="preserve">    F - FGTS</t>
  </si>
  <si>
    <t>2.3 - Benefícios Mensais e Diários</t>
  </si>
  <si>
    <t>Valores</t>
  </si>
  <si>
    <t xml:space="preserve">    A - Transporte</t>
  </si>
  <si>
    <t xml:space="preserve">    B - Auxílio-Refeição/Alimentação (CCT PR desconta 10%)</t>
  </si>
  <si>
    <t xml:space="preserve">    C - Assistência Médica e Familiar</t>
  </si>
  <si>
    <t xml:space="preserve">    D - Seguro de Vida</t>
  </si>
  <si>
    <t xml:space="preserve">    E - Cesta Básica</t>
  </si>
  <si>
    <t>2 - Encargos e Benefícios Anuais, Mensais e Diários</t>
  </si>
  <si>
    <t xml:space="preserve">    2.1 - 13º Salário e Adicional de Férias</t>
  </si>
  <si>
    <t xml:space="preserve">    2.2 - GPS, FGTS e outras contribuições</t>
  </si>
  <si>
    <t xml:space="preserve">    2.3 - Benefícios Mensais e Diários</t>
  </si>
  <si>
    <t>MÓDULO 3: PROVISÃO PARA RESCISÃO</t>
  </si>
  <si>
    <t>3 - Provisão para Rescisão</t>
  </si>
  <si>
    <t xml:space="preserve">    A - Aviso Prévio Indenizado </t>
  </si>
  <si>
    <t xml:space="preserve">    B - Incidência do FGTS sobre Aviso Prévio Indenizado</t>
  </si>
  <si>
    <t xml:space="preserve">    C - Multa do FGTS e contribuições sociais sobre o Aviso Prévio Indenizado </t>
  </si>
  <si>
    <t xml:space="preserve">    D - Aviso Prévio Trabalhado</t>
  </si>
  <si>
    <t xml:space="preserve">    E - Incidência do submódulo 2.2 sobre o Aviso Prévio Trabalhado</t>
  </si>
  <si>
    <t xml:space="preserve">    F - Multa do FGTS e contribuição social nas rescisões sem justa causa</t>
  </si>
  <si>
    <t>MÓDULO 4: CUSTO DE REPOSIÇÃO DO PROFISSIONAL AUSENTE</t>
  </si>
  <si>
    <t>4.1 - Substituto nas Ausências Legais</t>
  </si>
  <si>
    <t xml:space="preserve">    A - Substituto na cobertura de Férias</t>
  </si>
  <si>
    <t xml:space="preserve">    B - Substituto na cobertura de Ausências Legais</t>
  </si>
  <si>
    <t xml:space="preserve">    C - Substituto na cobertura de Licença Paternidade</t>
  </si>
  <si>
    <t xml:space="preserve">    D - Substituto na cobertura de Ausências por Acidente de Trabalho</t>
  </si>
  <si>
    <t>4.2 - Substituto na Intrajornada</t>
  </si>
  <si>
    <t xml:space="preserve">    A - Substituto na Cobertura de Intervalo para Repouso ou Alimentação</t>
  </si>
  <si>
    <t>4.3 - Afastamento Maternidade</t>
  </si>
  <si>
    <t xml:space="preserve">    A - Afastamento Maternidade</t>
  </si>
  <si>
    <t>4.4 - Intrajornada Indenizada</t>
  </si>
  <si>
    <t xml:space="preserve">    A - Intrajornada Indenizada</t>
  </si>
  <si>
    <t>4 - Custo de Reposição do Profissional Ausente</t>
  </si>
  <si>
    <t xml:space="preserve">    4.1 - Substituto nas Ausências Legais</t>
  </si>
  <si>
    <t xml:space="preserve">    4.2 - Substituto na Intrajornada</t>
  </si>
  <si>
    <t xml:space="preserve">    4.3 - Afastamento Maternidade</t>
  </si>
  <si>
    <t xml:space="preserve">    4.4 - Intrajornada Indenizada</t>
  </si>
  <si>
    <t>MÓDULO 5: INSUMOS DIVERSOS</t>
  </si>
  <si>
    <t>5 - Insumos Diversos</t>
  </si>
  <si>
    <t xml:space="preserve">    B - Materiais</t>
  </si>
  <si>
    <t xml:space="preserve">    C - Utensílios</t>
  </si>
  <si>
    <t>MÓDULO 6: CUSTOS INDIRETOS, TRIBUTOS E LUCRO</t>
  </si>
  <si>
    <t>6 - Custos Indiretos, Tributos e Lucro</t>
  </si>
  <si>
    <t xml:space="preserve">    A - Custos Indiretos</t>
  </si>
  <si>
    <t xml:space="preserve">    B - Lucro</t>
  </si>
  <si>
    <t xml:space="preserve">        C.1 - Tributos Federais (PIS e COFINS)</t>
  </si>
  <si>
    <t xml:space="preserve">        C.3 - Tributos Municipais (ISS)</t>
  </si>
  <si>
    <t xml:space="preserve">    C - Tributos (ISS 5%)</t>
  </si>
  <si>
    <t>QUADRO RESUMO DO CUSTO POR EMPREGADO</t>
  </si>
  <si>
    <t>Motorista (veículo passeio)</t>
  </si>
  <si>
    <t>Mão-de-obra vinculada à execução contratual (valor por empregado)</t>
  </si>
  <si>
    <t xml:space="preserve">    A - Módulo 1 - Composição da Remuneração</t>
  </si>
  <si>
    <t xml:space="preserve">    B - Módulo 2 - Encargos e Benefícios Anuais, Mensais e Diários</t>
  </si>
  <si>
    <t xml:space="preserve">    C - Módulo 3 - Provisão para Rescisão</t>
  </si>
  <si>
    <t xml:space="preserve">    D - Módulo 4 - Custos de Reposição do Profissional Ausente</t>
  </si>
  <si>
    <t xml:space="preserve">    E - Módulo 5 - Insumos Diversos</t>
  </si>
  <si>
    <t>Subtotal (A + B + C + D + E)</t>
  </si>
  <si>
    <t xml:space="preserve">    F - Módulo 6 - Custos Indiretos, Tributos e Lucro (ISS 5,00%)</t>
  </si>
  <si>
    <t>VALOR TOTAL POR EMPREGADO / MÊS</t>
  </si>
  <si>
    <t>ISS 5,00%</t>
  </si>
  <si>
    <r>
      <t xml:space="preserve">OBS: As células com fonte em </t>
    </r>
    <r>
      <rPr>
        <sz val="10"/>
        <color indexed="39"/>
        <rFont val="Arial"/>
        <family val="2"/>
      </rPr>
      <t>AZUL</t>
    </r>
    <r>
      <rPr>
        <sz val="10"/>
        <rFont val="Arial"/>
        <family val="2"/>
      </rPr>
      <t xml:space="preserve"> podem/devem ser alteradas pelo licitante, de forma a construir sua proposta de preços, nas demais células, deve ser evitada a alteração para não gerar distorções e/ou falhas nas fórmulas, somente alterando em casos especiais.
Nas alterações, devem ser observadas as disposições das respectivas CCTs, tarifas em vigor, além da legislação trabalhista e tributária vigente.</t>
    </r>
  </si>
  <si>
    <t>PR</t>
  </si>
  <si>
    <t>COMPOSIÇÃO DOS CUSTOS DE PERNOITE, ALIMENTAÇÃO E HORA EXTRA</t>
  </si>
  <si>
    <t>VALORES CCTs</t>
  </si>
  <si>
    <t>PERNOITE*</t>
  </si>
  <si>
    <t>HORA EXTRA (ADICIONAL)</t>
  </si>
  <si>
    <t>COMPOSIÇÃO DOS CUSTOS DE PERNOITE E ALIMENTAÇÃO</t>
  </si>
  <si>
    <t xml:space="preserve">   MÓDULO 1: COMPOSIÇÃO DOS CUSTOS DE PERNOITE E ALIMENTAÇÃO</t>
  </si>
  <si>
    <t xml:space="preserve">    Item</t>
  </si>
  <si>
    <t>Valor (R$)</t>
  </si>
  <si>
    <t xml:space="preserve">    Valor / dia</t>
  </si>
  <si>
    <t>Subtotal Custos Fixos</t>
  </si>
  <si>
    <t xml:space="preserve">   MÓDULO 2: CUSTOS INDIRETOS, TRIBUTOS E LUCRO</t>
  </si>
  <si>
    <t>Custos Indiretos, Tributos e Lucro</t>
  </si>
  <si>
    <t xml:space="preserve">    B – Lucro</t>
  </si>
  <si>
    <t xml:space="preserve">    C – Tributos (ISS 2%)</t>
  </si>
  <si>
    <t xml:space="preserve">    C.1 - Tributos Federais (PIS, COFINS)</t>
  </si>
  <si>
    <t xml:space="preserve">    C.2 - Tributos Estaduais/Municipais (ISSQN)</t>
  </si>
  <si>
    <t xml:space="preserve">    C – Tributos (ISS 3%)</t>
  </si>
  <si>
    <t xml:space="preserve">    C – Tributos (ISS 3,5%)</t>
  </si>
  <si>
    <t xml:space="preserve">    C – Tributos (ISS 4%)</t>
  </si>
  <si>
    <t xml:space="preserve">    C – Tributos (ISS 5%)</t>
  </si>
  <si>
    <t>Total Custos Indiretos, Tributos e Lucro, por ISS Municipal</t>
  </si>
  <si>
    <r>
      <t xml:space="preserve">OBS: As células com fonte em </t>
    </r>
    <r>
      <rPr>
        <sz val="10"/>
        <color indexed="39"/>
        <rFont val="Calibri"/>
        <family val="2"/>
        <charset val="1"/>
      </rPr>
      <t>AZUL</t>
    </r>
    <r>
      <rPr>
        <sz val="10"/>
        <rFont val="Calibri"/>
        <family val="2"/>
        <charset val="1"/>
      </rPr>
      <t xml:space="preserve"> podem/devem ser alteradas pelo licitante, de forma a construir sua proposta de preços, nas demais células, deve ser evitada a alteração para não gerar distorções e/ou falhas nas fórmulas, somente alterando em casos especiais.
Nas alterações, devem ser observadas as disposições das respectivas CCTs, tarifas em vigor, além da legislação trabalhista e tributária vigente.</t>
    </r>
  </si>
  <si>
    <t>PESQUISA DE PREÇOS DE VALE TRANSPORTE</t>
  </si>
  <si>
    <t>VT</t>
  </si>
  <si>
    <t>QTD PESSOAL</t>
  </si>
  <si>
    <t>MÉDIA PONDERADA</t>
  </si>
  <si>
    <t>PESQUISA DE PREÇOS DE UNIFORME</t>
  </si>
  <si>
    <t>Descrição</t>
  </si>
  <si>
    <t>Preço médio – sites internet (R$)</t>
  </si>
  <si>
    <t>Custo médio Unitário</t>
  </si>
  <si>
    <t>Quantidade 
Fornecida por ano</t>
  </si>
  <si>
    <t>Custo Anual por profissional</t>
  </si>
  <si>
    <t>Custo Mensal por profissional</t>
  </si>
  <si>
    <t>CUSTO MENSAL POR EMPREGADO – MOTORISTA</t>
  </si>
  <si>
    <t>PESQUISA DE PREÇOS – SEGURO DE VIDA</t>
  </si>
  <si>
    <t>Fonte</t>
  </si>
  <si>
    <t>Rodobens</t>
  </si>
  <si>
    <t>Sistema Sul</t>
  </si>
  <si>
    <t>Smartia</t>
  </si>
  <si>
    <t>MÉDIA</t>
  </si>
  <si>
    <t>Valor</t>
  </si>
  <si>
    <t>PESQUISA DE PREÇOS – PLANO DE SAÚDE</t>
  </si>
  <si>
    <t>Repom</t>
  </si>
  <si>
    <t>Vale Saúde</t>
  </si>
  <si>
    <t>Curitiba</t>
  </si>
  <si>
    <t>Valor a ser cotado</t>
  </si>
  <si>
    <t>DIÁRIA</t>
  </si>
  <si>
    <t>MOTORISTA</t>
  </si>
  <si>
    <t>PLANILHA DE FORMAÇÃO DE PREÇOS MENSAL</t>
  </si>
  <si>
    <t>Sedes da DPE em Curitiba</t>
  </si>
  <si>
    <t>Processo nº 19.995.499-7</t>
  </si>
  <si>
    <t>HORAS EXTRAS (50%)</t>
  </si>
  <si>
    <t>HORAS EXTRAS (100%)</t>
  </si>
  <si>
    <t>HORA EXTRA (EXTRA)</t>
  </si>
  <si>
    <t>HORA EXTRA (NOTURNA)</t>
  </si>
  <si>
    <t>VALOR TOTAL POR EMPREGADO / DIA
(R$ mês/220x8,8)</t>
  </si>
  <si>
    <t>TOTAL MENSAL</t>
  </si>
  <si>
    <t>TOTAL ANUAL</t>
  </si>
  <si>
    <t>Total com Tributos por ISS Municipal</t>
  </si>
  <si>
    <t xml:space="preserve">    A - Uniformes (dois por ano)</t>
  </si>
  <si>
    <t>Lotados nas Sedes de Curitiba</t>
  </si>
  <si>
    <t>UNIFORME E EQUIPAMENTOS DE USO PESSOAL – MOTORISTA</t>
  </si>
  <si>
    <t>Calça</t>
  </si>
  <si>
    <t>Cinto em couro preto</t>
  </si>
  <si>
    <t>Sapato social preto</t>
  </si>
  <si>
    <t>Camisa com a logo da empresa - manga comprida</t>
  </si>
  <si>
    <t>Camisa com a logo da empresa - manga curta</t>
  </si>
  <si>
    <t>Jaqueta para frio com o logo da empresa</t>
  </si>
  <si>
    <t>Preço médio – banco de preços (R$)</t>
  </si>
  <si>
    <t>PLANILHA ESTIMATIVA DE CUSTOS</t>
  </si>
  <si>
    <t>Serviço Continuado de servoço de  Motorista</t>
  </si>
  <si>
    <t>Serviço Continuado de servoço de Motorista</t>
  </si>
  <si>
    <t>HORA EXTRA (ADICIONAL NOTURNA)</t>
  </si>
  <si>
    <t>HORAS NOTURANAS EXTRAS (60%)</t>
  </si>
  <si>
    <t>HORAS NOTURANAS EXTRAS (120%)</t>
  </si>
  <si>
    <t>DEFENSORIA PÚBLICA DO ESTADO DO PARANÁ</t>
  </si>
  <si>
    <t>ANEXO x – PLANILHA ESTIMATIVA DE CUSTOS</t>
  </si>
  <si>
    <t>Serviço Continuado de Condução de Vaículos</t>
  </si>
  <si>
    <t>Tipo de serviço (mesmo serviço com características distintas)</t>
  </si>
  <si>
    <t>Classificação Brasileira de Ocupações</t>
  </si>
  <si>
    <t>Categoria profissional (vinculada à execução contratual)</t>
  </si>
  <si>
    <t>Sindicato do Dissísio/Convenção Coletiva</t>
  </si>
  <si>
    <t>VALOR TOTAL POR EMPREGADO / HORA
(R$ mês/220)</t>
  </si>
  <si>
    <t>Valores diários</t>
  </si>
  <si>
    <t>ALIMENTAÇÃO SUPLEMENTAR</t>
  </si>
  <si>
    <t>Valores a serem cotados</t>
  </si>
  <si>
    <t xml:space="preserve">    D - Equipamentos</t>
  </si>
  <si>
    <t xml:space="preserve">    E - Outros </t>
  </si>
  <si>
    <t xml:space="preserve">    H - Outros (especificar)</t>
  </si>
  <si>
    <t xml:space="preserve">    F - Diária de Viagem (não incide sobre o valor do posto)</t>
  </si>
  <si>
    <t xml:space="preserve">    G - Alimentação suplementar (não incide sobre o valor do posto)</t>
  </si>
  <si>
    <t>OBS: Nas células D9, J9, L9, N9 e P9 deve ser evitada a alteração para não gerar distorções e/ou falhas nas fórmulas, somente alterando em casos especiais.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</si>
</sst>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[$R$-416]\ #,##0.00;[Red]\-[$R$-416]\ #,##0.00"/>
    <numFmt numFmtId="165" formatCode="[$R$-416]\ #,##0.0000;[Red]\-[$R$-416]\ #,##0.0000"/>
    <numFmt numFmtId="166" formatCode="* #,##0.00\ ;* \(#,##0.00\);* \-#\ ;@\ "/>
    <numFmt numFmtId="167" formatCode="&quot;R$ &quot;#,##0.00"/>
    <numFmt numFmtId="168" formatCode="* #,##0.00\ ;\-* #,##0.00\ ;* \-#\ ;@\ "/>
    <numFmt numFmtId="169" formatCode="&quot;R$ &quot;#,##0.00\ ;[Red]&quot;(R$ &quot;#,##0.00\)"/>
    <numFmt numFmtId="170" formatCode="&quot; R$ &quot;#,##0.00\ ;&quot; R$ (&quot;#,##0.00\);&quot; R$ -&quot;#\ ;@\ "/>
    <numFmt numFmtId="171" formatCode="_(&quot;R$ &quot;* #,##0.00_);_(&quot;R$ &quot;* \(#,##0.00\);_(&quot;R$ &quot;* &quot;-&quot;??_);_(@_)"/>
  </numFmts>
  <fonts count="5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4"/>
      <color indexed="9"/>
      <name val="Calibri"/>
      <family val="2"/>
      <charset val="1"/>
    </font>
    <font>
      <b/>
      <sz val="10"/>
      <name val="Calibri"/>
      <family val="2"/>
      <charset val="1"/>
    </font>
    <font>
      <b/>
      <sz val="14"/>
      <color indexed="9"/>
      <name val="Calibri"/>
      <family val="2"/>
    </font>
    <font>
      <sz val="10"/>
      <color indexed="8"/>
      <name val="Calibri"/>
      <family val="2"/>
      <charset val="1"/>
    </font>
    <font>
      <b/>
      <sz val="10"/>
      <color indexed="8"/>
      <name val="Calibri"/>
      <family val="2"/>
      <charset val="1"/>
    </font>
    <font>
      <sz val="7.5"/>
      <color indexed="8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16"/>
      <name val="Calibri"/>
      <family val="2"/>
    </font>
    <font>
      <sz val="10"/>
      <name val="Calibri"/>
      <family val="2"/>
    </font>
    <font>
      <sz val="10"/>
      <name val="Calibri"/>
      <family val="2"/>
      <charset val="1"/>
    </font>
    <font>
      <b/>
      <sz val="12"/>
      <color indexed="16"/>
      <name val="Calibri"/>
      <family val="2"/>
    </font>
    <font>
      <sz val="12"/>
      <color indexed="16"/>
      <name val="Calibri"/>
      <family val="2"/>
    </font>
    <font>
      <b/>
      <sz val="10"/>
      <color indexed="9"/>
      <name val="Arial"/>
      <family val="2"/>
    </font>
    <font>
      <b/>
      <sz val="12"/>
      <color indexed="9"/>
      <name val="Calibri"/>
      <family val="2"/>
    </font>
    <font>
      <sz val="11"/>
      <color indexed="39"/>
      <name val="Calibri"/>
      <family val="2"/>
    </font>
    <font>
      <sz val="10"/>
      <color indexed="39"/>
      <name val="Calibri"/>
      <family val="2"/>
    </font>
    <font>
      <b/>
      <sz val="8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indexed="18"/>
      <name val="Calibri"/>
      <family val="2"/>
    </font>
    <font>
      <sz val="11"/>
      <color indexed="21"/>
      <name val="Calibri"/>
      <family val="2"/>
    </font>
    <font>
      <b/>
      <sz val="10"/>
      <color indexed="10"/>
      <name val="Times New Roman"/>
      <family val="1"/>
    </font>
    <font>
      <sz val="11"/>
      <name val="Calibri"/>
      <family val="2"/>
    </font>
    <font>
      <sz val="8"/>
      <name val="Calibri"/>
      <family val="2"/>
    </font>
    <font>
      <sz val="10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23"/>
      <name val="Calibri"/>
      <family val="2"/>
    </font>
    <font>
      <sz val="10"/>
      <color indexed="58"/>
      <name val="Calibri"/>
      <family val="2"/>
    </font>
    <font>
      <b/>
      <sz val="11"/>
      <color indexed="23"/>
      <name val="Calibri"/>
      <family val="2"/>
    </font>
    <font>
      <b/>
      <sz val="11"/>
      <color indexed="9"/>
      <name val="Calibri"/>
      <family val="2"/>
    </font>
    <font>
      <sz val="10"/>
      <color indexed="39"/>
      <name val="Arial"/>
      <family val="2"/>
    </font>
    <font>
      <b/>
      <sz val="14"/>
      <color indexed="8"/>
      <name val="Calibri"/>
      <family val="2"/>
    </font>
    <font>
      <b/>
      <sz val="8"/>
      <color indexed="9"/>
      <name val="Calibri"/>
      <family val="2"/>
    </font>
    <font>
      <b/>
      <sz val="12"/>
      <color indexed="9"/>
      <name val="Calibri"/>
      <family val="2"/>
      <charset val="1"/>
    </font>
    <font>
      <b/>
      <sz val="11"/>
      <name val="Calibri"/>
      <family val="2"/>
      <charset val="1"/>
    </font>
    <font>
      <sz val="10"/>
      <color indexed="39"/>
      <name val="Calibri"/>
      <family val="2"/>
      <charset val="1"/>
    </font>
    <font>
      <b/>
      <sz val="9"/>
      <color indexed="8"/>
      <name val="Calibri"/>
      <family val="2"/>
      <charset val="1"/>
    </font>
    <font>
      <sz val="10"/>
      <color indexed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</font>
    <font>
      <sz val="11"/>
      <color theme="5" tint="-0.499984740745262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indexed="20"/>
        <bgColor indexed="59"/>
      </patternFill>
    </fill>
    <fill>
      <patternFill patternType="solid">
        <fgColor indexed="48"/>
        <bgColor indexed="21"/>
      </patternFill>
    </fill>
    <fill>
      <patternFill patternType="solid">
        <fgColor indexed="9"/>
        <bgColor indexed="26"/>
      </patternFill>
    </fill>
    <fill>
      <patternFill patternType="solid">
        <fgColor indexed="62"/>
        <bgColor indexed="38"/>
      </patternFill>
    </fill>
    <fill>
      <patternFill patternType="solid">
        <fgColor indexed="42"/>
        <bgColor indexed="17"/>
      </patternFill>
    </fill>
    <fill>
      <patternFill patternType="solid">
        <fgColor indexed="17"/>
        <bgColor indexed="42"/>
      </patternFill>
    </fill>
    <fill>
      <patternFill patternType="solid">
        <fgColor indexed="27"/>
        <bgColor indexed="42"/>
      </patternFill>
    </fill>
    <fill>
      <patternFill patternType="solid">
        <fgColor indexed="31"/>
        <bgColor indexed="15"/>
      </patternFill>
    </fill>
    <fill>
      <patternFill patternType="solid">
        <fgColor indexed="26"/>
        <bgColor indexed="32"/>
      </patternFill>
    </fill>
    <fill>
      <patternFill patternType="solid">
        <fgColor indexed="14"/>
        <bgColor indexed="33"/>
      </patternFill>
    </fill>
    <fill>
      <patternFill patternType="solid">
        <fgColor indexed="53"/>
        <bgColor indexed="55"/>
      </patternFill>
    </fill>
    <fill>
      <patternFill patternType="solid">
        <fgColor indexed="19"/>
        <bgColor indexed="53"/>
      </patternFill>
    </fill>
    <fill>
      <patternFill patternType="solid">
        <fgColor indexed="49"/>
        <bgColor indexed="57"/>
      </patternFill>
    </fill>
    <fill>
      <patternFill patternType="solid">
        <fgColor indexed="13"/>
        <bgColor indexed="43"/>
      </patternFill>
    </fill>
    <fill>
      <patternFill patternType="solid">
        <fgColor indexed="46"/>
        <bgColor indexed="25"/>
      </patternFill>
    </fill>
    <fill>
      <patternFill patternType="solid">
        <fgColor indexed="33"/>
        <bgColor indexed="60"/>
      </patternFill>
    </fill>
    <fill>
      <patternFill patternType="solid">
        <fgColor indexed="61"/>
        <bgColor indexed="22"/>
      </patternFill>
    </fill>
    <fill>
      <patternFill patternType="solid">
        <fgColor indexed="25"/>
        <bgColor indexed="15"/>
      </patternFill>
    </fill>
    <fill>
      <patternFill patternType="solid">
        <fgColor indexed="23"/>
        <bgColor indexed="55"/>
      </patternFill>
    </fill>
    <fill>
      <patternFill patternType="solid">
        <fgColor indexed="43"/>
        <bgColor indexed="13"/>
      </patternFill>
    </fill>
    <fill>
      <patternFill patternType="solid">
        <fgColor indexed="51"/>
        <bgColor indexed="52"/>
      </patternFill>
    </fill>
    <fill>
      <patternFill patternType="solid">
        <fgColor indexed="57"/>
        <bgColor indexed="49"/>
      </patternFill>
    </fill>
    <fill>
      <patternFill patternType="solid">
        <fgColor indexed="50"/>
        <bgColor indexed="19"/>
      </patternFill>
    </fill>
    <fill>
      <patternFill patternType="solid">
        <fgColor indexed="44"/>
        <bgColor indexed="40"/>
      </patternFill>
    </fill>
    <fill>
      <patternFill patternType="solid">
        <fgColor indexed="41"/>
        <bgColor indexed="20"/>
      </patternFill>
    </fill>
    <fill>
      <patternFill patternType="solid">
        <fgColor indexed="21"/>
        <bgColor indexed="38"/>
      </patternFill>
    </fill>
    <fill>
      <patternFill patternType="solid">
        <fgColor indexed="22"/>
        <bgColor indexed="15"/>
      </patternFill>
    </fill>
    <fill>
      <patternFill patternType="solid">
        <fgColor indexed="30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55"/>
        <bgColor indexed="24"/>
      </patternFill>
    </fill>
  </fills>
  <borders count="5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15"/>
      </top>
      <bottom style="thin">
        <color indexed="4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9"/>
      </bottom>
      <diagonal/>
    </border>
    <border>
      <left style="hair">
        <color indexed="8"/>
      </left>
      <right style="hair">
        <color indexed="8"/>
      </right>
      <top style="thin">
        <color indexed="9"/>
      </top>
      <bottom style="thin">
        <color indexed="9"/>
      </bottom>
      <diagonal/>
    </border>
    <border>
      <left style="hair">
        <color indexed="8"/>
      </left>
      <right style="hair">
        <color indexed="8"/>
      </right>
      <top style="thin">
        <color indexed="9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medium">
        <color indexed="8"/>
      </top>
      <bottom/>
      <diagonal/>
    </border>
    <border>
      <left style="hair">
        <color indexed="8"/>
      </left>
      <right style="hair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9"/>
      </bottom>
      <diagonal/>
    </border>
    <border>
      <left style="hair">
        <color indexed="8"/>
      </left>
      <right/>
      <top style="thin">
        <color indexed="9"/>
      </top>
      <bottom style="thin">
        <color indexed="9"/>
      </bottom>
      <diagonal/>
    </border>
    <border>
      <left style="hair">
        <color indexed="8"/>
      </left>
      <right/>
      <top style="thin">
        <color indexed="9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/>
      <right/>
      <top style="hair">
        <color indexed="8"/>
      </top>
      <bottom/>
      <diagonal/>
    </border>
  </borders>
  <cellStyleXfs count="13">
    <xf numFmtId="0" fontId="0" fillId="0" borderId="0"/>
    <xf numFmtId="166" fontId="46" fillId="0" borderId="0" applyFill="0" applyBorder="0" applyAlignment="0" applyProtection="0"/>
    <xf numFmtId="170" fontId="12" fillId="0" borderId="0" applyBorder="0" applyProtection="0"/>
    <xf numFmtId="9" fontId="46" fillId="0" borderId="0" applyFill="0" applyBorder="0" applyAlignment="0" applyProtection="0"/>
    <xf numFmtId="0" fontId="12" fillId="2" borderId="0" applyBorder="0" applyProtection="0"/>
    <xf numFmtId="171" fontId="46" fillId="0" borderId="0" applyFill="0" applyBorder="0" applyAlignment="0" applyProtection="0"/>
    <xf numFmtId="0" fontId="1" fillId="0" borderId="0"/>
    <xf numFmtId="43" fontId="46" fillId="0" borderId="0" applyFont="0" applyFill="0" applyBorder="0" applyAlignment="0" applyProtection="0"/>
    <xf numFmtId="171" fontId="46" fillId="0" borderId="0" applyFont="0" applyFill="0" applyBorder="0" applyAlignment="0" applyProtection="0"/>
    <xf numFmtId="0" fontId="1" fillId="0" borderId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47" fillId="0" borderId="0"/>
  </cellStyleXfs>
  <cellXfs count="3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4" borderId="0" xfId="0" applyFont="1" applyFill="1" applyAlignment="1" applyProtection="1">
      <alignment horizontal="center" vertical="center"/>
      <protection locked="0"/>
    </xf>
    <xf numFmtId="0" fontId="6" fillId="4" borderId="0" xfId="0" applyFont="1" applyFill="1" applyAlignment="1">
      <alignment horizontal="center" wrapText="1"/>
    </xf>
    <xf numFmtId="0" fontId="6" fillId="4" borderId="0" xfId="0" applyFont="1" applyFill="1"/>
    <xf numFmtId="0" fontId="6" fillId="0" borderId="0" xfId="0" applyFont="1"/>
    <xf numFmtId="0" fontId="8" fillId="0" borderId="0" xfId="0" applyFont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2" fillId="4" borderId="0" xfId="0" applyFont="1" applyFill="1"/>
    <xf numFmtId="0" fontId="10" fillId="5" borderId="0" xfId="0" applyFont="1" applyFill="1" applyAlignment="1">
      <alignment horizontal="center" vertical="center" wrapText="1"/>
    </xf>
    <xf numFmtId="0" fontId="9" fillId="12" borderId="0" xfId="0" applyFont="1" applyFill="1" applyAlignment="1">
      <alignment horizontal="center" vertical="center"/>
    </xf>
    <xf numFmtId="2" fontId="11" fillId="13" borderId="0" xfId="0" applyNumberFormat="1" applyFont="1" applyFill="1" applyAlignment="1">
      <alignment horizontal="center" vertical="center" wrapText="1"/>
    </xf>
    <xf numFmtId="0" fontId="11" fillId="13" borderId="0" xfId="0" applyFont="1" applyFill="1" applyAlignment="1">
      <alignment horizontal="center" vertical="center" wrapText="1"/>
    </xf>
    <xf numFmtId="0" fontId="11" fillId="15" borderId="0" xfId="0" applyFont="1" applyFill="1" applyAlignment="1">
      <alignment horizontal="center" vertical="center" wrapText="1"/>
    </xf>
    <xf numFmtId="0" fontId="11" fillId="16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17" borderId="0" xfId="0" applyFont="1" applyFill="1" applyAlignment="1">
      <alignment horizontal="center" wrapText="1"/>
    </xf>
    <xf numFmtId="0" fontId="2" fillId="17" borderId="0" xfId="0" applyFont="1" applyFill="1" applyAlignment="1">
      <alignment wrapText="1"/>
    </xf>
    <xf numFmtId="10" fontId="12" fillId="18" borderId="0" xfId="0" applyNumberFormat="1" applyFont="1" applyFill="1" applyAlignment="1">
      <alignment vertical="center"/>
    </xf>
    <xf numFmtId="164" fontId="2" fillId="7" borderId="0" xfId="0" applyNumberFormat="1" applyFont="1" applyFill="1" applyAlignment="1">
      <alignment wrapText="1"/>
    </xf>
    <xf numFmtId="2" fontId="2" fillId="10" borderId="0" xfId="0" applyNumberFormat="1" applyFont="1" applyFill="1" applyAlignment="1">
      <alignment wrapText="1"/>
    </xf>
    <xf numFmtId="1" fontId="2" fillId="10" borderId="0" xfId="0" applyNumberFormat="1" applyFont="1" applyFill="1" applyAlignment="1">
      <alignment horizontal="center" wrapText="1"/>
    </xf>
    <xf numFmtId="2" fontId="2" fillId="11" borderId="0" xfId="0" applyNumberFormat="1" applyFont="1" applyFill="1" applyAlignment="1">
      <alignment wrapText="1"/>
    </xf>
    <xf numFmtId="1" fontId="2" fillId="11" borderId="0" xfId="0" applyNumberFormat="1" applyFont="1" applyFill="1" applyAlignment="1">
      <alignment horizontal="center" wrapText="1"/>
    </xf>
    <xf numFmtId="2" fontId="2" fillId="7" borderId="0" xfId="0" applyNumberFormat="1" applyFont="1" applyFill="1" applyAlignment="1">
      <alignment wrapText="1"/>
    </xf>
    <xf numFmtId="0" fontId="2" fillId="7" borderId="0" xfId="0" applyFont="1" applyFill="1" applyAlignment="1">
      <alignment horizontal="center"/>
    </xf>
    <xf numFmtId="0" fontId="2" fillId="5" borderId="0" xfId="0" applyFont="1" applyFill="1" applyAlignment="1">
      <alignment horizontal="center" wrapText="1"/>
    </xf>
    <xf numFmtId="0" fontId="10" fillId="5" borderId="0" xfId="0" applyFont="1" applyFill="1" applyAlignment="1">
      <alignment wrapText="1"/>
    </xf>
    <xf numFmtId="0" fontId="13" fillId="5" borderId="0" xfId="0" applyFont="1" applyFill="1" applyAlignment="1">
      <alignment vertical="center"/>
    </xf>
    <xf numFmtId="164" fontId="10" fillId="5" borderId="0" xfId="0" applyNumberFormat="1" applyFont="1" applyFill="1" applyAlignment="1">
      <alignment wrapText="1"/>
    </xf>
    <xf numFmtId="3" fontId="10" fillId="5" borderId="0" xfId="0" applyNumberFormat="1" applyFont="1" applyFill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/>
    <xf numFmtId="0" fontId="13" fillId="5" borderId="2" xfId="0" applyFont="1" applyFill="1" applyBorder="1" applyAlignment="1">
      <alignment vertic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17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justify" vertical="center"/>
    </xf>
    <xf numFmtId="0" fontId="18" fillId="0" borderId="3" xfId="0" applyFont="1" applyBorder="1" applyAlignment="1">
      <alignment horizontal="justify"/>
    </xf>
    <xf numFmtId="164" fontId="17" fillId="0" borderId="3" xfId="0" applyNumberFormat="1" applyFont="1" applyBorder="1" applyAlignment="1">
      <alignment horizontal="center" vertical="center"/>
    </xf>
    <xf numFmtId="165" fontId="17" fillId="0" borderId="3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3" xfId="0" applyFont="1" applyBorder="1" applyAlignment="1">
      <alignment horizontal="left"/>
    </xf>
    <xf numFmtId="0" fontId="18" fillId="0" borderId="3" xfId="0" applyFont="1" applyBorder="1" applyAlignment="1">
      <alignment horizontal="left" vertical="center"/>
    </xf>
    <xf numFmtId="0" fontId="15" fillId="20" borderId="0" xfId="0" applyFont="1" applyFill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/>
    <xf numFmtId="0" fontId="11" fillId="4" borderId="0" xfId="0" applyFont="1" applyFill="1" applyAlignment="1" applyProtection="1">
      <alignment horizontal="center" vertical="center"/>
      <protection locked="0"/>
    </xf>
    <xf numFmtId="0" fontId="15" fillId="4" borderId="6" xfId="0" applyFont="1" applyFill="1" applyBorder="1" applyAlignment="1" applyProtection="1">
      <alignment vertical="center"/>
      <protection locked="0"/>
    </xf>
    <xf numFmtId="0" fontId="11" fillId="4" borderId="7" xfId="0" applyFont="1" applyFill="1" applyBorder="1" applyAlignment="1" applyProtection="1">
      <alignment horizontal="right" vertical="center"/>
      <protection locked="0"/>
    </xf>
    <xf numFmtId="0" fontId="15" fillId="4" borderId="8" xfId="0" applyFont="1" applyFill="1" applyBorder="1" applyAlignment="1" applyProtection="1">
      <alignment vertical="center"/>
      <protection locked="0"/>
    </xf>
    <xf numFmtId="0" fontId="11" fillId="4" borderId="9" xfId="0" applyFont="1" applyFill="1" applyBorder="1" applyAlignment="1" applyProtection="1">
      <alignment horizontal="right" vertical="center"/>
      <protection locked="0"/>
    </xf>
    <xf numFmtId="0" fontId="15" fillId="4" borderId="11" xfId="0" applyFont="1" applyFill="1" applyBorder="1" applyAlignment="1" applyProtection="1">
      <alignment vertical="center"/>
      <protection locked="0"/>
    </xf>
    <xf numFmtId="0" fontId="11" fillId="4" borderId="12" xfId="0" applyFont="1" applyFill="1" applyBorder="1" applyAlignment="1" applyProtection="1">
      <alignment horizontal="right" vertical="center"/>
      <protection locked="0"/>
    </xf>
    <xf numFmtId="0" fontId="15" fillId="4" borderId="0" xfId="0" applyFont="1" applyFill="1" applyAlignment="1" applyProtection="1">
      <alignment vertical="center"/>
      <protection locked="0"/>
    </xf>
    <xf numFmtId="0" fontId="11" fillId="4" borderId="0" xfId="0" applyFont="1" applyFill="1" applyAlignment="1" applyProtection="1">
      <alignment horizontal="right" vertical="center"/>
      <protection locked="0"/>
    </xf>
    <xf numFmtId="14" fontId="15" fillId="4" borderId="0" xfId="0" applyNumberFormat="1" applyFont="1" applyFill="1" applyAlignment="1" applyProtection="1">
      <alignment horizontal="center" vertical="center"/>
      <protection locked="0"/>
    </xf>
    <xf numFmtId="0" fontId="23" fillId="4" borderId="6" xfId="0" applyFont="1" applyFill="1" applyBorder="1" applyAlignment="1" applyProtection="1">
      <alignment horizontal="center" vertical="center"/>
      <protection locked="0"/>
    </xf>
    <xf numFmtId="0" fontId="11" fillId="23" borderId="1" xfId="0" applyFont="1" applyFill="1" applyBorder="1" applyAlignment="1" applyProtection="1">
      <alignment horizontal="center" vertical="center" wrapText="1"/>
      <protection locked="0"/>
    </xf>
    <xf numFmtId="0" fontId="11" fillId="24" borderId="11" xfId="0" applyFont="1" applyFill="1" applyBorder="1" applyAlignment="1" applyProtection="1">
      <alignment vertical="center" wrapText="1"/>
      <protection locked="0"/>
    </xf>
    <xf numFmtId="166" fontId="25" fillId="24" borderId="10" xfId="1" applyFont="1" applyFill="1" applyBorder="1" applyAlignment="1" applyProtection="1">
      <alignment horizontal="center" vertical="center"/>
      <protection locked="0"/>
    </xf>
    <xf numFmtId="166" fontId="25" fillId="24" borderId="5" xfId="1" applyFont="1" applyFill="1" applyBorder="1" applyAlignment="1" applyProtection="1">
      <alignment horizontal="center" vertical="center"/>
      <protection locked="0"/>
    </xf>
    <xf numFmtId="0" fontId="15" fillId="4" borderId="8" xfId="0" applyFont="1" applyFill="1" applyBorder="1" applyAlignment="1" applyProtection="1">
      <alignment vertical="center" wrapText="1"/>
      <protection locked="0"/>
    </xf>
    <xf numFmtId="167" fontId="26" fillId="4" borderId="4" xfId="3" applyNumberFormat="1" applyFont="1" applyFill="1" applyBorder="1" applyAlignment="1" applyProtection="1">
      <alignment vertical="center"/>
      <protection locked="0"/>
    </xf>
    <xf numFmtId="166" fontId="25" fillId="4" borderId="9" xfId="1" applyFont="1" applyFill="1" applyBorder="1" applyAlignment="1" applyProtection="1">
      <protection locked="0"/>
    </xf>
    <xf numFmtId="166" fontId="27" fillId="4" borderId="10" xfId="3" applyNumberFormat="1" applyFont="1" applyFill="1" applyBorder="1" applyAlignment="1" applyProtection="1">
      <alignment vertical="center"/>
      <protection locked="0"/>
    </xf>
    <xf numFmtId="168" fontId="25" fillId="4" borderId="9" xfId="1" applyNumberFormat="1" applyFont="1" applyFill="1" applyBorder="1" applyAlignment="1" applyProtection="1">
      <protection locked="0"/>
    </xf>
    <xf numFmtId="0" fontId="15" fillId="0" borderId="8" xfId="0" applyFont="1" applyBorder="1" applyAlignment="1" applyProtection="1">
      <alignment vertical="center" wrapText="1"/>
      <protection locked="0"/>
    </xf>
    <xf numFmtId="166" fontId="27" fillId="0" borderId="10" xfId="3" applyNumberFormat="1" applyFont="1" applyFill="1" applyBorder="1" applyAlignment="1" applyProtection="1">
      <alignment vertical="center"/>
      <protection locked="0"/>
    </xf>
    <xf numFmtId="166" fontId="25" fillId="0" borderId="9" xfId="1" applyFont="1" applyFill="1" applyBorder="1" applyAlignment="1" applyProtection="1">
      <protection locked="0"/>
    </xf>
    <xf numFmtId="0" fontId="27" fillId="4" borderId="5" xfId="0" applyFont="1" applyFill="1" applyBorder="1" applyAlignment="1" applyProtection="1">
      <alignment vertical="center"/>
      <protection locked="0"/>
    </xf>
    <xf numFmtId="0" fontId="11" fillId="23" borderId="1" xfId="0" applyFont="1" applyFill="1" applyBorder="1" applyAlignment="1" applyProtection="1">
      <alignment horizontal="right" vertical="center" wrapText="1"/>
      <protection locked="0"/>
    </xf>
    <xf numFmtId="10" fontId="11" fillId="23" borderId="13" xfId="0" applyNumberFormat="1" applyFont="1" applyFill="1" applyBorder="1" applyAlignment="1" applyProtection="1">
      <alignment horizontal="right" vertical="center" wrapText="1"/>
      <protection locked="0"/>
    </xf>
    <xf numFmtId="166" fontId="25" fillId="23" borderId="1" xfId="0" applyNumberFormat="1" applyFont="1" applyFill="1" applyBorder="1" applyAlignment="1" applyProtection="1">
      <alignment vertical="center"/>
      <protection locked="0"/>
    </xf>
    <xf numFmtId="0" fontId="11" fillId="4" borderId="0" xfId="0" applyFont="1" applyFill="1" applyAlignment="1" applyProtection="1">
      <alignment vertical="center" wrapText="1"/>
      <protection locked="0"/>
    </xf>
    <xf numFmtId="0" fontId="27" fillId="4" borderId="0" xfId="0" applyFont="1" applyFill="1" applyAlignment="1" applyProtection="1">
      <alignment vertical="center"/>
      <protection locked="0"/>
    </xf>
    <xf numFmtId="166" fontId="25" fillId="4" borderId="0" xfId="0" applyNumberFormat="1" applyFont="1" applyFill="1" applyAlignment="1" applyProtection="1">
      <alignment vertical="center"/>
      <protection locked="0"/>
    </xf>
    <xf numFmtId="0" fontId="11" fillId="25" borderId="11" xfId="0" applyFont="1" applyFill="1" applyBorder="1" applyAlignment="1" applyProtection="1">
      <alignment horizontal="left" vertical="center" wrapText="1"/>
      <protection locked="0"/>
    </xf>
    <xf numFmtId="166" fontId="25" fillId="25" borderId="5" xfId="1" applyFont="1" applyFill="1" applyBorder="1" applyAlignment="1" applyProtection="1">
      <alignment horizontal="center" vertical="center"/>
      <protection locked="0"/>
    </xf>
    <xf numFmtId="0" fontId="15" fillId="4" borderId="6" xfId="0" applyFont="1" applyFill="1" applyBorder="1" applyAlignment="1" applyProtection="1">
      <alignment vertical="center" wrapText="1"/>
      <protection locked="0"/>
    </xf>
    <xf numFmtId="10" fontId="21" fillId="4" borderId="4" xfId="3" applyNumberFormat="1" applyFont="1" applyFill="1" applyBorder="1" applyAlignment="1" applyProtection="1">
      <alignment vertical="center"/>
      <protection locked="0"/>
    </xf>
    <xf numFmtId="166" fontId="25" fillId="4" borderId="4" xfId="1" applyFont="1" applyFill="1" applyBorder="1" applyAlignment="1" applyProtection="1">
      <alignment vertical="center"/>
      <protection locked="0"/>
    </xf>
    <xf numFmtId="10" fontId="21" fillId="4" borderId="10" xfId="3" applyNumberFormat="1" applyFont="1" applyFill="1" applyBorder="1" applyAlignment="1" applyProtection="1">
      <alignment vertical="center"/>
      <protection locked="0"/>
    </xf>
    <xf numFmtId="166" fontId="25" fillId="4" borderId="10" xfId="1" applyFont="1" applyFill="1" applyBorder="1" applyAlignment="1" applyProtection="1">
      <alignment vertical="center"/>
      <protection locked="0"/>
    </xf>
    <xf numFmtId="0" fontId="11" fillId="23" borderId="14" xfId="0" applyFont="1" applyFill="1" applyBorder="1" applyAlignment="1" applyProtection="1">
      <alignment horizontal="right" vertical="center" wrapText="1"/>
      <protection locked="0"/>
    </xf>
    <xf numFmtId="10" fontId="25" fillId="23" borderId="1" xfId="0" applyNumberFormat="1" applyFont="1" applyFill="1" applyBorder="1" applyAlignment="1" applyProtection="1">
      <alignment vertical="center"/>
      <protection locked="0"/>
    </xf>
    <xf numFmtId="0" fontId="11" fillId="9" borderId="14" xfId="0" applyFont="1" applyFill="1" applyBorder="1" applyAlignment="1" applyProtection="1">
      <alignment horizontal="left" vertical="center" wrapText="1"/>
      <protection locked="0"/>
    </xf>
    <xf numFmtId="166" fontId="25" fillId="9" borderId="5" xfId="1" applyFont="1" applyFill="1" applyBorder="1" applyAlignment="1" applyProtection="1">
      <alignment horizontal="center" vertical="center"/>
      <protection locked="0"/>
    </xf>
    <xf numFmtId="10" fontId="29" fillId="4" borderId="10" xfId="3" applyNumberFormat="1" applyFont="1" applyFill="1" applyBorder="1" applyAlignment="1" applyProtection="1">
      <alignment vertical="center"/>
      <protection locked="0"/>
    </xf>
    <xf numFmtId="166" fontId="25" fillId="4" borderId="9" xfId="1" applyFont="1" applyFill="1" applyBorder="1" applyAlignment="1" applyProtection="1">
      <alignment vertical="center"/>
      <protection locked="0"/>
    </xf>
    <xf numFmtId="0" fontId="30" fillId="20" borderId="0" xfId="0" applyFont="1" applyFill="1" applyAlignment="1" applyProtection="1">
      <alignment vertical="center"/>
      <protection locked="0"/>
    </xf>
    <xf numFmtId="0" fontId="30" fillId="0" borderId="0" xfId="0" applyFont="1" applyAlignment="1" applyProtection="1">
      <alignment vertical="center"/>
      <protection locked="0"/>
    </xf>
    <xf numFmtId="166" fontId="25" fillId="23" borderId="15" xfId="0" applyNumberFormat="1" applyFont="1" applyFill="1" applyBorder="1" applyAlignment="1" applyProtection="1">
      <alignment vertical="center"/>
      <protection locked="0"/>
    </xf>
    <xf numFmtId="0" fontId="11" fillId="9" borderId="11" xfId="0" applyFont="1" applyFill="1" applyBorder="1" applyAlignment="1" applyProtection="1">
      <alignment vertical="center" wrapText="1"/>
      <protection locked="0"/>
    </xf>
    <xf numFmtId="166" fontId="25" fillId="9" borderId="10" xfId="1" applyFont="1" applyFill="1" applyBorder="1" applyAlignment="1" applyProtection="1">
      <alignment horizontal="center" vertical="center"/>
      <protection locked="0"/>
    </xf>
    <xf numFmtId="166" fontId="25" fillId="4" borderId="4" xfId="1" applyFont="1" applyFill="1" applyBorder="1" applyAlignment="1" applyProtection="1">
      <protection locked="0"/>
    </xf>
    <xf numFmtId="169" fontId="21" fillId="4" borderId="8" xfId="3" applyNumberFormat="1" applyFont="1" applyFill="1" applyBorder="1" applyAlignment="1" applyProtection="1">
      <alignment vertical="center"/>
      <protection locked="0"/>
    </xf>
    <xf numFmtId="0" fontId="15" fillId="4" borderId="8" xfId="0" applyFont="1" applyFill="1" applyBorder="1" applyAlignment="1">
      <alignment vertical="center" wrapText="1"/>
    </xf>
    <xf numFmtId="166" fontId="25" fillId="4" borderId="5" xfId="1" applyFont="1" applyFill="1" applyBorder="1" applyAlignment="1" applyProtection="1">
      <alignment vertical="center"/>
      <protection locked="0"/>
    </xf>
    <xf numFmtId="0" fontId="11" fillId="24" borderId="1" xfId="0" applyFont="1" applyFill="1" applyBorder="1" applyAlignment="1" applyProtection="1">
      <alignment horizontal="left" vertical="center" wrapText="1"/>
      <protection locked="0"/>
    </xf>
    <xf numFmtId="166" fontId="25" fillId="24" borderId="12" xfId="1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 applyProtection="1">
      <alignment horizontal="left" vertical="center" wrapText="1"/>
      <protection locked="0"/>
    </xf>
    <xf numFmtId="10" fontId="29" fillId="4" borderId="7" xfId="0" applyNumberFormat="1" applyFont="1" applyFill="1" applyBorder="1" applyAlignment="1" applyProtection="1">
      <alignment horizontal="right" vertical="center" wrapText="1"/>
      <protection locked="0"/>
    </xf>
    <xf numFmtId="0" fontId="15" fillId="4" borderId="10" xfId="0" applyFont="1" applyFill="1" applyBorder="1" applyAlignment="1" applyProtection="1">
      <alignment horizontal="left" vertical="center" wrapText="1"/>
      <protection locked="0"/>
    </xf>
    <xf numFmtId="10" fontId="29" fillId="4" borderId="9" xfId="0" applyNumberFormat="1" applyFont="1" applyFill="1" applyBorder="1" applyAlignment="1" applyProtection="1">
      <alignment horizontal="right" vertical="center" wrapText="1"/>
      <protection locked="0"/>
    </xf>
    <xf numFmtId="10" fontId="31" fillId="4" borderId="9" xfId="0" applyNumberFormat="1" applyFont="1" applyFill="1" applyBorder="1" applyAlignment="1" applyProtection="1">
      <alignment horizontal="right" vertical="center" wrapText="1"/>
      <protection locked="0"/>
    </xf>
    <xf numFmtId="10" fontId="11" fillId="23" borderId="16" xfId="0" applyNumberFormat="1" applyFont="1" applyFill="1" applyBorder="1" applyAlignment="1" applyProtection="1">
      <alignment horizontal="right" vertical="center" wrapText="1"/>
      <protection locked="0"/>
    </xf>
    <xf numFmtId="0" fontId="11" fillId="4" borderId="0" xfId="0" applyFont="1" applyFill="1" applyAlignment="1" applyProtection="1">
      <alignment horizontal="right" vertical="center" wrapText="1"/>
      <protection locked="0"/>
    </xf>
    <xf numFmtId="166" fontId="25" fillId="24" borderId="17" xfId="1" applyFont="1" applyFill="1" applyBorder="1" applyAlignment="1" applyProtection="1">
      <alignment horizontal="center" vertical="center"/>
      <protection locked="0"/>
    </xf>
    <xf numFmtId="10" fontId="21" fillId="4" borderId="8" xfId="3" applyNumberFormat="1" applyFont="1" applyFill="1" applyBorder="1" applyAlignment="1" applyProtection="1">
      <alignment vertical="center"/>
      <protection locked="0"/>
    </xf>
    <xf numFmtId="166" fontId="25" fillId="4" borderId="18" xfId="1" applyFont="1" applyFill="1" applyBorder="1" applyAlignment="1" applyProtection="1">
      <alignment vertical="center"/>
      <protection locked="0"/>
    </xf>
    <xf numFmtId="10" fontId="29" fillId="4" borderId="8" xfId="3" applyNumberFormat="1" applyFont="1" applyFill="1" applyBorder="1" applyAlignment="1" applyProtection="1">
      <alignment vertical="center"/>
      <protection locked="0"/>
    </xf>
    <xf numFmtId="10" fontId="21" fillId="0" borderId="8" xfId="3" applyNumberFormat="1" applyFont="1" applyFill="1" applyBorder="1" applyAlignment="1" applyProtection="1">
      <alignment vertical="center"/>
      <protection locked="0"/>
    </xf>
    <xf numFmtId="10" fontId="11" fillId="23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25" borderId="11" xfId="0" applyFont="1" applyFill="1" applyBorder="1" applyAlignment="1" applyProtection="1">
      <alignment vertical="center" wrapText="1"/>
      <protection locked="0"/>
    </xf>
    <xf numFmtId="166" fontId="25" fillId="25" borderId="1" xfId="1" applyFont="1" applyFill="1" applyBorder="1" applyAlignment="1" applyProtection="1">
      <alignment horizontal="center" vertical="center"/>
      <protection locked="0"/>
    </xf>
    <xf numFmtId="9" fontId="25" fillId="25" borderId="11" xfId="3" applyFont="1" applyFill="1" applyBorder="1" applyAlignment="1" applyProtection="1">
      <alignment vertical="center"/>
      <protection locked="0"/>
    </xf>
    <xf numFmtId="10" fontId="21" fillId="0" borderId="10" xfId="3" applyNumberFormat="1" applyFont="1" applyFill="1" applyBorder="1" applyAlignment="1" applyProtection="1">
      <alignment vertical="center"/>
      <protection locked="0"/>
    </xf>
    <xf numFmtId="166" fontId="25" fillId="0" borderId="9" xfId="1" applyFont="1" applyFill="1" applyBorder="1" applyAlignment="1" applyProtection="1">
      <alignment vertical="center"/>
      <protection locked="0"/>
    </xf>
    <xf numFmtId="0" fontId="11" fillId="24" borderId="6" xfId="0" applyFont="1" applyFill="1" applyBorder="1" applyAlignment="1" applyProtection="1">
      <alignment vertical="center" wrapText="1"/>
      <protection locked="0"/>
    </xf>
    <xf numFmtId="166" fontId="25" fillId="24" borderId="9" xfId="1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 applyProtection="1">
      <alignment vertical="center" wrapText="1"/>
      <protection locked="0"/>
    </xf>
    <xf numFmtId="10" fontId="29" fillId="4" borderId="0" xfId="3" applyNumberFormat="1" applyFont="1" applyFill="1" applyBorder="1" applyAlignment="1" applyProtection="1">
      <alignment vertical="center"/>
      <protection locked="0"/>
    </xf>
    <xf numFmtId="0" fontId="15" fillId="4" borderId="10" xfId="0" applyFont="1" applyFill="1" applyBorder="1" applyAlignment="1" applyProtection="1">
      <alignment vertical="center" wrapText="1"/>
      <protection locked="0"/>
    </xf>
    <xf numFmtId="10" fontId="32" fillId="4" borderId="0" xfId="0" applyNumberFormat="1" applyFont="1" applyFill="1" applyAlignment="1" applyProtection="1">
      <alignment vertical="center"/>
      <protection locked="0"/>
    </xf>
    <xf numFmtId="0" fontId="11" fillId="24" borderId="8" xfId="0" applyFont="1" applyFill="1" applyBorder="1" applyAlignment="1" applyProtection="1">
      <alignment vertical="center" wrapText="1"/>
      <protection locked="0"/>
    </xf>
    <xf numFmtId="166" fontId="25" fillId="4" borderId="10" xfId="1" applyFont="1" applyFill="1" applyBorder="1" applyAlignment="1" applyProtection="1">
      <protection locked="0"/>
    </xf>
    <xf numFmtId="0" fontId="15" fillId="4" borderId="5" xfId="0" applyFont="1" applyFill="1" applyBorder="1" applyAlignment="1" applyProtection="1">
      <alignment vertical="center" wrapText="1"/>
      <protection locked="0"/>
    </xf>
    <xf numFmtId="0" fontId="11" fillId="23" borderId="11" xfId="0" applyFont="1" applyFill="1" applyBorder="1" applyAlignment="1" applyProtection="1">
      <alignment horizontal="right" vertical="center" wrapText="1"/>
      <protection locked="0"/>
    </xf>
    <xf numFmtId="0" fontId="27" fillId="23" borderId="14" xfId="0" applyFont="1" applyFill="1" applyBorder="1" applyAlignment="1" applyProtection="1">
      <alignment vertical="center"/>
      <protection locked="0"/>
    </xf>
    <xf numFmtId="166" fontId="25" fillId="4" borderId="19" xfId="1" applyFont="1" applyFill="1" applyBorder="1" applyAlignment="1" applyProtection="1">
      <alignment vertical="center"/>
      <protection locked="0"/>
    </xf>
    <xf numFmtId="166" fontId="25" fillId="4" borderId="20" xfId="1" applyFont="1" applyFill="1" applyBorder="1" applyAlignment="1" applyProtection="1">
      <alignment vertical="center"/>
      <protection locked="0"/>
    </xf>
    <xf numFmtId="0" fontId="15" fillId="26" borderId="8" xfId="0" applyFont="1" applyFill="1" applyBorder="1" applyAlignment="1" applyProtection="1">
      <alignment vertical="center" wrapText="1"/>
      <protection locked="0"/>
    </xf>
    <xf numFmtId="10" fontId="33" fillId="26" borderId="8" xfId="3" applyNumberFormat="1" applyFont="1" applyFill="1" applyBorder="1" applyAlignment="1" applyProtection="1">
      <alignment vertical="center"/>
      <protection locked="0"/>
    </xf>
    <xf numFmtId="166" fontId="25" fillId="26" borderId="20" xfId="1" applyFont="1" applyFill="1" applyBorder="1" applyAlignment="1" applyProtection="1">
      <alignment vertical="center"/>
      <protection locked="0"/>
    </xf>
    <xf numFmtId="0" fontId="34" fillId="4" borderId="8" xfId="0" applyFont="1" applyFill="1" applyBorder="1" applyAlignment="1" applyProtection="1">
      <alignment vertical="center" wrapText="1"/>
      <protection locked="0"/>
    </xf>
    <xf numFmtId="0" fontId="10" fillId="27" borderId="1" xfId="0" applyFont="1" applyFill="1" applyBorder="1" applyAlignment="1" applyProtection="1">
      <alignment horizontal="center" vertical="center" wrapText="1"/>
      <protection locked="0"/>
    </xf>
    <xf numFmtId="166" fontId="25" fillId="22" borderId="9" xfId="1" applyFont="1" applyFill="1" applyBorder="1" applyAlignment="1" applyProtection="1">
      <alignment horizontal="center" vertical="center"/>
      <protection locked="0"/>
    </xf>
    <xf numFmtId="166" fontId="25" fillId="4" borderId="22" xfId="0" applyNumberFormat="1" applyFont="1" applyFill="1" applyBorder="1" applyAlignment="1" applyProtection="1">
      <alignment vertical="center"/>
      <protection locked="0"/>
    </xf>
    <xf numFmtId="166" fontId="25" fillId="4" borderId="24" xfId="0" applyNumberFormat="1" applyFont="1" applyFill="1" applyBorder="1" applyAlignment="1" applyProtection="1">
      <alignment vertical="center"/>
      <protection locked="0"/>
    </xf>
    <xf numFmtId="166" fontId="35" fillId="4" borderId="24" xfId="0" applyNumberFormat="1" applyFont="1" applyFill="1" applyBorder="1" applyAlignment="1" applyProtection="1">
      <alignment vertical="center"/>
      <protection locked="0"/>
    </xf>
    <xf numFmtId="166" fontId="25" fillId="4" borderId="26" xfId="0" applyNumberFormat="1" applyFont="1" applyFill="1" applyBorder="1" applyAlignment="1" applyProtection="1">
      <alignment vertical="center"/>
      <protection locked="0"/>
    </xf>
    <xf numFmtId="0" fontId="11" fillId="20" borderId="0" xfId="0" applyFont="1" applyFill="1" applyAlignment="1" applyProtection="1">
      <alignment vertical="center"/>
      <protection locked="0"/>
    </xf>
    <xf numFmtId="0" fontId="0" fillId="0" borderId="0" xfId="0" applyAlignment="1">
      <alignment horizontal="center"/>
    </xf>
    <xf numFmtId="0" fontId="39" fillId="3" borderId="0" xfId="0" applyFont="1" applyFill="1" applyAlignment="1">
      <alignment horizontal="center" vertical="center" wrapText="1"/>
    </xf>
    <xf numFmtId="2" fontId="22" fillId="28" borderId="0" xfId="0" applyNumberFormat="1" applyFont="1" applyFill="1" applyAlignment="1">
      <alignment wrapText="1"/>
    </xf>
    <xf numFmtId="10" fontId="22" fillId="0" borderId="0" xfId="0" applyNumberFormat="1" applyFont="1"/>
    <xf numFmtId="2" fontId="10" fillId="5" borderId="0" xfId="0" applyNumberFormat="1" applyFont="1" applyFill="1" applyAlignment="1">
      <alignment wrapText="1"/>
    </xf>
    <xf numFmtId="0" fontId="41" fillId="23" borderId="28" xfId="0" applyFont="1" applyFill="1" applyBorder="1" applyAlignment="1">
      <alignment horizontal="center" vertical="center"/>
    </xf>
    <xf numFmtId="0" fontId="4" fillId="28" borderId="28" xfId="0" applyFont="1" applyFill="1" applyBorder="1" applyAlignment="1">
      <alignment horizontal="center" vertical="center"/>
    </xf>
    <xf numFmtId="164" fontId="16" fillId="4" borderId="29" xfId="0" applyNumberFormat="1" applyFont="1" applyFill="1" applyBorder="1" applyAlignment="1">
      <alignment vertical="center"/>
    </xf>
    <xf numFmtId="0" fontId="4" fillId="4" borderId="0" xfId="0" applyFont="1" applyFill="1" applyAlignment="1">
      <alignment horizontal="center" vertical="center"/>
    </xf>
    <xf numFmtId="10" fontId="4" fillId="4" borderId="0" xfId="0" applyNumberFormat="1" applyFont="1" applyFill="1" applyAlignment="1">
      <alignment horizontal="center" vertical="center"/>
    </xf>
    <xf numFmtId="164" fontId="4" fillId="4" borderId="0" xfId="0" applyNumberFormat="1" applyFont="1" applyFill="1" applyAlignment="1">
      <alignment vertic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2" fillId="0" borderId="0" xfId="0" applyFont="1" applyAlignment="1">
      <alignment wrapText="1"/>
    </xf>
    <xf numFmtId="0" fontId="7" fillId="23" borderId="0" xfId="0" applyFont="1" applyFill="1" applyAlignment="1">
      <alignment horizontal="center" vertical="center" wrapText="1"/>
    </xf>
    <xf numFmtId="0" fontId="43" fillId="23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wrapText="1"/>
    </xf>
    <xf numFmtId="2" fontId="22" fillId="0" borderId="0" xfId="0" applyNumberFormat="1" applyFont="1" applyAlignment="1">
      <alignment wrapText="1"/>
    </xf>
    <xf numFmtId="2" fontId="2" fillId="0" borderId="0" xfId="0" applyNumberFormat="1" applyFont="1" applyAlignment="1">
      <alignment wrapText="1"/>
    </xf>
    <xf numFmtId="2" fontId="2" fillId="17" borderId="0" xfId="0" applyNumberFormat="1" applyFont="1" applyFill="1" applyAlignment="1">
      <alignment horizontal="center" wrapText="1"/>
    </xf>
    <xf numFmtId="2" fontId="2" fillId="17" borderId="0" xfId="0" applyNumberFormat="1" applyFont="1" applyFill="1" applyAlignment="1">
      <alignment wrapText="1"/>
    </xf>
    <xf numFmtId="0" fontId="0" fillId="0" borderId="34" xfId="0" applyBorder="1"/>
    <xf numFmtId="0" fontId="2" fillId="4" borderId="0" xfId="0" applyFont="1" applyFill="1" applyAlignment="1">
      <alignment wrapText="1"/>
    </xf>
    <xf numFmtId="0" fontId="44" fillId="4" borderId="0" xfId="0" applyFont="1" applyFill="1"/>
    <xf numFmtId="0" fontId="0" fillId="4" borderId="0" xfId="0" applyFill="1"/>
    <xf numFmtId="0" fontId="44" fillId="0" borderId="36" xfId="0" applyFont="1" applyBorder="1"/>
    <xf numFmtId="0" fontId="44" fillId="0" borderId="37" xfId="0" applyFont="1" applyBorder="1"/>
    <xf numFmtId="0" fontId="45" fillId="23" borderId="35" xfId="0" applyFont="1" applyFill="1" applyBorder="1" applyAlignment="1">
      <alignment horizontal="center" vertical="center" wrapText="1"/>
    </xf>
    <xf numFmtId="0" fontId="45" fillId="23" borderId="27" xfId="0" applyFont="1" applyFill="1" applyBorder="1" applyAlignment="1">
      <alignment horizontal="center" vertical="center" wrapText="1"/>
    </xf>
    <xf numFmtId="0" fontId="45" fillId="23" borderId="28" xfId="0" applyFont="1" applyFill="1" applyBorder="1" applyAlignment="1">
      <alignment horizontal="center" vertical="center" wrapText="1"/>
    </xf>
    <xf numFmtId="0" fontId="45" fillId="0" borderId="3" xfId="0" applyFont="1" applyBorder="1" applyAlignment="1">
      <alignment horizontal="left" vertical="center" indent="1"/>
    </xf>
    <xf numFmtId="167" fontId="0" fillId="0" borderId="3" xfId="2" applyNumberFormat="1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167" fontId="0" fillId="0" borderId="3" xfId="2" applyNumberFormat="1" applyFont="1" applyBorder="1" applyAlignment="1" applyProtection="1">
      <alignment horizontal="center" vertical="center" wrapText="1"/>
    </xf>
    <xf numFmtId="0" fontId="45" fillId="26" borderId="3" xfId="0" applyFont="1" applyFill="1" applyBorder="1" applyAlignment="1">
      <alignment horizontal="left" vertical="center" indent="1"/>
    </xf>
    <xf numFmtId="167" fontId="0" fillId="26" borderId="3" xfId="2" applyNumberFormat="1" applyFont="1" applyFill="1" applyBorder="1" applyAlignment="1" applyProtection="1">
      <alignment horizontal="center" vertical="center" wrapText="1"/>
      <protection locked="0"/>
    </xf>
    <xf numFmtId="0" fontId="0" fillId="26" borderId="3" xfId="0" applyFill="1" applyBorder="1" applyAlignment="1">
      <alignment horizontal="center" vertical="center" wrapText="1"/>
    </xf>
    <xf numFmtId="167" fontId="0" fillId="26" borderId="3" xfId="2" applyNumberFormat="1" applyFont="1" applyFill="1" applyBorder="1" applyAlignment="1" applyProtection="1">
      <alignment horizontal="center" vertical="center" wrapText="1"/>
    </xf>
    <xf numFmtId="167" fontId="19" fillId="29" borderId="3" xfId="2" applyNumberFormat="1" applyFont="1" applyFill="1" applyBorder="1" applyAlignment="1" applyProtection="1">
      <alignment horizontal="center" vertical="center" wrapText="1"/>
    </xf>
    <xf numFmtId="0" fontId="19" fillId="30" borderId="0" xfId="0" applyFont="1" applyFill="1" applyAlignment="1">
      <alignment horizontal="center" vertical="center"/>
    </xf>
    <xf numFmtId="0" fontId="19" fillId="31" borderId="0" xfId="0" applyFont="1" applyFill="1" applyAlignment="1">
      <alignment horizontal="center"/>
    </xf>
    <xf numFmtId="2" fontId="0" fillId="0" borderId="0" xfId="0" applyNumberFormat="1"/>
    <xf numFmtId="2" fontId="0" fillId="28" borderId="0" xfId="0" applyNumberFormat="1" applyFill="1"/>
    <xf numFmtId="0" fontId="0" fillId="0" borderId="0" xfId="0" applyAlignment="1">
      <alignment vertical="center" wrapText="1"/>
    </xf>
    <xf numFmtId="9" fontId="0" fillId="0" borderId="0" xfId="0" applyNumberFormat="1"/>
    <xf numFmtId="43" fontId="27" fillId="4" borderId="0" xfId="0" applyNumberFormat="1" applyFont="1" applyFill="1" applyAlignment="1" applyProtection="1">
      <alignment vertical="center"/>
      <protection locked="0"/>
    </xf>
    <xf numFmtId="0" fontId="40" fillId="3" borderId="1" xfId="0" applyFont="1" applyFill="1" applyBorder="1" applyAlignment="1" applyProtection="1">
      <alignment vertical="center"/>
      <protection locked="0"/>
    </xf>
    <xf numFmtId="0" fontId="41" fillId="4" borderId="41" xfId="0" applyFont="1" applyFill="1" applyBorder="1" applyAlignment="1">
      <alignment horizontal="right" vertical="center"/>
    </xf>
    <xf numFmtId="10" fontId="41" fillId="4" borderId="41" xfId="0" applyNumberFormat="1" applyFont="1" applyFill="1" applyBorder="1" applyAlignment="1">
      <alignment horizontal="right" vertical="center"/>
    </xf>
    <xf numFmtId="164" fontId="4" fillId="4" borderId="41" xfId="0" applyNumberFormat="1" applyFont="1" applyFill="1" applyBorder="1" applyAlignment="1">
      <alignment vertical="center"/>
    </xf>
    <xf numFmtId="0" fontId="41" fillId="23" borderId="46" xfId="0" applyFont="1" applyFill="1" applyBorder="1" applyAlignment="1">
      <alignment horizontal="center" vertical="center"/>
    </xf>
    <xf numFmtId="0" fontId="4" fillId="28" borderId="46" xfId="0" applyFont="1" applyFill="1" applyBorder="1" applyAlignment="1">
      <alignment horizontal="center" vertical="center"/>
    </xf>
    <xf numFmtId="164" fontId="16" fillId="4" borderId="48" xfId="0" applyNumberFormat="1" applyFont="1" applyFill="1" applyBorder="1" applyAlignment="1">
      <alignment vertical="center"/>
    </xf>
    <xf numFmtId="164" fontId="4" fillId="9" borderId="50" xfId="0" applyNumberFormat="1" applyFont="1" applyFill="1" applyBorder="1" applyAlignment="1">
      <alignment vertical="center"/>
    </xf>
    <xf numFmtId="164" fontId="4" fillId="9" borderId="51" xfId="0" applyNumberFormat="1" applyFont="1" applyFill="1" applyBorder="1" applyAlignment="1">
      <alignment vertical="center"/>
    </xf>
    <xf numFmtId="10" fontId="4" fillId="28" borderId="56" xfId="0" applyNumberFormat="1" applyFont="1" applyFill="1" applyBorder="1" applyAlignment="1">
      <alignment horizontal="center" vertical="center"/>
    </xf>
    <xf numFmtId="0" fontId="4" fillId="28" borderId="56" xfId="0" applyFont="1" applyFill="1" applyBorder="1" applyAlignment="1">
      <alignment horizontal="center" vertical="center"/>
    </xf>
    <xf numFmtId="10" fontId="42" fillId="4" borderId="40" xfId="0" applyNumberFormat="1" applyFont="1" applyFill="1" applyBorder="1" applyAlignment="1">
      <alignment horizontal="center" vertical="center"/>
    </xf>
    <xf numFmtId="164" fontId="16" fillId="4" borderId="40" xfId="0" applyNumberFormat="1" applyFont="1" applyFill="1" applyBorder="1" applyAlignment="1">
      <alignment vertical="center"/>
    </xf>
    <xf numFmtId="10" fontId="4" fillId="8" borderId="40" xfId="0" applyNumberFormat="1" applyFont="1" applyFill="1" applyBorder="1" applyAlignment="1">
      <alignment horizontal="center" vertical="center"/>
    </xf>
    <xf numFmtId="164" fontId="4" fillId="8" borderId="40" xfId="0" applyNumberFormat="1" applyFont="1" applyFill="1" applyBorder="1" applyAlignment="1">
      <alignment horizontal="right" vertical="center"/>
    </xf>
    <xf numFmtId="10" fontId="16" fillId="4" borderId="40" xfId="0" applyNumberFormat="1" applyFont="1" applyFill="1" applyBorder="1" applyAlignment="1">
      <alignment horizontal="center" vertical="center"/>
    </xf>
    <xf numFmtId="10" fontId="16" fillId="9" borderId="40" xfId="0" applyNumberFormat="1" applyFont="1" applyFill="1" applyBorder="1" applyAlignment="1">
      <alignment horizontal="center" vertical="center"/>
    </xf>
    <xf numFmtId="164" fontId="4" fillId="9" borderId="40" xfId="0" applyNumberFormat="1" applyFont="1" applyFill="1" applyBorder="1" applyAlignment="1">
      <alignment vertical="center"/>
    </xf>
    <xf numFmtId="10" fontId="4" fillId="9" borderId="40" xfId="0" applyNumberFormat="1" applyFont="1" applyFill="1" applyBorder="1" applyAlignment="1">
      <alignment horizontal="center" vertical="center"/>
    </xf>
    <xf numFmtId="14" fontId="22" fillId="22" borderId="1" xfId="0" applyNumberFormat="1" applyFont="1" applyFill="1" applyBorder="1" applyAlignment="1" applyProtection="1">
      <alignment horizontal="center" vertical="center"/>
      <protection locked="0"/>
    </xf>
    <xf numFmtId="39" fontId="22" fillId="21" borderId="1" xfId="1" applyNumberFormat="1" applyFont="1" applyFill="1" applyBorder="1" applyAlignment="1" applyProtection="1">
      <alignment horizontal="center" vertical="center"/>
      <protection locked="0"/>
    </xf>
    <xf numFmtId="1" fontId="22" fillId="21" borderId="1" xfId="1" applyNumberFormat="1" applyFont="1" applyFill="1" applyBorder="1" applyAlignment="1" applyProtection="1">
      <alignment horizontal="center" vertical="center"/>
      <protection locked="0"/>
    </xf>
    <xf numFmtId="171" fontId="46" fillId="0" borderId="57" xfId="5" applyBorder="1" applyAlignment="1">
      <alignment horizontal="center"/>
    </xf>
    <xf numFmtId="169" fontId="21" fillId="0" borderId="4" xfId="3" applyNumberFormat="1" applyFont="1" applyFill="1" applyBorder="1" applyAlignment="1" applyProtection="1">
      <alignment vertical="center"/>
      <protection locked="0"/>
    </xf>
    <xf numFmtId="0" fontId="48" fillId="7" borderId="0" xfId="0" applyFont="1" applyFill="1" applyAlignment="1">
      <alignment horizontal="center" wrapText="1"/>
    </xf>
    <xf numFmtId="169" fontId="49" fillId="4" borderId="4" xfId="3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Alignment="1">
      <alignment horizontal="center" wrapText="1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5" fillId="5" borderId="8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4" fillId="4" borderId="0" xfId="0" applyFont="1" applyFill="1" applyAlignment="1" applyProtection="1">
      <alignment horizontal="center" vertical="center"/>
      <protection locked="0"/>
    </xf>
    <xf numFmtId="0" fontId="18" fillId="0" borderId="3" xfId="0" applyFont="1" applyBorder="1" applyAlignment="1">
      <alignment horizontal="center" vertical="center"/>
    </xf>
    <xf numFmtId="164" fontId="17" fillId="0" borderId="3" xfId="0" applyNumberFormat="1" applyFont="1" applyBorder="1" applyAlignment="1">
      <alignment horizontal="left" vertical="center"/>
    </xf>
    <xf numFmtId="0" fontId="9" fillId="10" borderId="0" xfId="0" applyFont="1" applyFill="1" applyAlignment="1">
      <alignment horizontal="center" vertical="center"/>
    </xf>
    <xf numFmtId="0" fontId="9" fillId="11" borderId="0" xfId="0" applyFont="1" applyFill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9" fillId="7" borderId="0" xfId="0" applyFont="1" applyFill="1" applyAlignment="1">
      <alignment horizontal="center" vertical="center" wrapText="1"/>
    </xf>
    <xf numFmtId="0" fontId="0" fillId="22" borderId="58" xfId="0" applyFill="1" applyBorder="1" applyAlignment="1">
      <alignment horizontal="center" vertical="center" wrapText="1"/>
    </xf>
    <xf numFmtId="0" fontId="0" fillId="22" borderId="0" xfId="0" applyFill="1" applyBorder="1" applyAlignment="1">
      <alignment horizontal="center" vertical="center" wrapText="1"/>
    </xf>
    <xf numFmtId="2" fontId="10" fillId="5" borderId="0" xfId="0" applyNumberFormat="1" applyFont="1" applyFill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24" fillId="14" borderId="14" xfId="0" applyFont="1" applyFill="1" applyBorder="1" applyAlignment="1" applyProtection="1">
      <alignment horizontal="left" vertical="center" wrapText="1"/>
      <protection locked="0"/>
    </xf>
    <xf numFmtId="0" fontId="24" fillId="14" borderId="16" xfId="0" applyFont="1" applyFill="1" applyBorder="1" applyAlignment="1" applyProtection="1">
      <alignment horizontal="left" vertical="center" wrapText="1"/>
      <protection locked="0"/>
    </xf>
    <xf numFmtId="0" fontId="24" fillId="14" borderId="15" xfId="0" applyFont="1" applyFill="1" applyBorder="1" applyAlignment="1" applyProtection="1">
      <alignment horizontal="left" vertical="center" wrapText="1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 applyProtection="1">
      <alignment horizontal="center" vertical="center"/>
      <protection locked="0"/>
    </xf>
    <xf numFmtId="0" fontId="11" fillId="4" borderId="23" xfId="0" applyFont="1" applyFill="1" applyBorder="1" applyAlignment="1" applyProtection="1">
      <alignment horizontal="left" vertical="center" wrapText="1"/>
      <protection locked="0"/>
    </xf>
    <xf numFmtId="0" fontId="24" fillId="14" borderId="1" xfId="0" applyFont="1" applyFill="1" applyBorder="1" applyAlignment="1" applyProtection="1">
      <alignment horizontal="left" vertical="center" wrapText="1"/>
      <protection locked="0"/>
    </xf>
    <xf numFmtId="0" fontId="11" fillId="23" borderId="14" xfId="0" applyFont="1" applyFill="1" applyBorder="1" applyAlignment="1" applyProtection="1">
      <alignment horizontal="center" vertical="center" wrapText="1"/>
      <protection locked="0"/>
    </xf>
    <xf numFmtId="0" fontId="20" fillId="27" borderId="1" xfId="0" applyFont="1" applyFill="1" applyBorder="1" applyAlignment="1" applyProtection="1">
      <alignment horizontal="center" vertical="center" wrapText="1"/>
      <protection locked="0"/>
    </xf>
    <xf numFmtId="0" fontId="11" fillId="22" borderId="10" xfId="0" applyFont="1" applyFill="1" applyBorder="1" applyAlignment="1" applyProtection="1">
      <alignment horizontal="left" vertical="center" wrapText="1"/>
      <protection locked="0"/>
    </xf>
    <xf numFmtId="0" fontId="11" fillId="4" borderId="21" xfId="0" applyFont="1" applyFill="1" applyBorder="1" applyAlignment="1" applyProtection="1">
      <alignment horizontal="left" vertical="center" wrapText="1"/>
      <protection locked="0"/>
    </xf>
    <xf numFmtId="10" fontId="12" fillId="23" borderId="4" xfId="0" applyNumberFormat="1" applyFont="1" applyFill="1" applyBorder="1" applyAlignment="1" applyProtection="1">
      <alignment horizontal="center" vertical="center"/>
      <protection locked="0"/>
    </xf>
    <xf numFmtId="10" fontId="12" fillId="23" borderId="5" xfId="0" applyNumberFormat="1" applyFont="1" applyFill="1" applyBorder="1" applyAlignment="1" applyProtection="1">
      <alignment horizontal="center" vertical="center"/>
      <protection locked="0"/>
    </xf>
    <xf numFmtId="166" fontId="25" fillId="23" borderId="4" xfId="0" applyNumberFormat="1" applyFont="1" applyFill="1" applyBorder="1" applyAlignment="1" applyProtection="1">
      <alignment horizontal="center" vertical="center"/>
      <protection locked="0"/>
    </xf>
    <xf numFmtId="166" fontId="25" fillId="23" borderId="5" xfId="0" applyNumberFormat="1" applyFont="1" applyFill="1" applyBorder="1" applyAlignment="1" applyProtection="1">
      <alignment horizontal="center" vertical="center"/>
      <protection locked="0"/>
    </xf>
    <xf numFmtId="0" fontId="0" fillId="22" borderId="3" xfId="0" applyFill="1" applyBorder="1" applyAlignment="1">
      <alignment horizontal="justify" vertical="center" wrapText="1"/>
    </xf>
    <xf numFmtId="0" fontId="10" fillId="27" borderId="29" xfId="0" applyFont="1" applyFill="1" applyBorder="1" applyAlignment="1" applyProtection="1">
      <alignment horizontal="center" vertical="center" wrapText="1"/>
      <protection locked="0"/>
    </xf>
    <xf numFmtId="0" fontId="10" fillId="27" borderId="33" xfId="0" applyFont="1" applyFill="1" applyBorder="1" applyAlignment="1" applyProtection="1">
      <alignment horizontal="center" vertical="center" wrapText="1"/>
      <protection locked="0"/>
    </xf>
    <xf numFmtId="0" fontId="11" fillId="4" borderId="23" xfId="0" applyFont="1" applyFill="1" applyBorder="1" applyAlignment="1" applyProtection="1">
      <alignment horizontal="center" vertical="center" wrapText="1"/>
      <protection locked="0"/>
    </xf>
    <xf numFmtId="0" fontId="11" fillId="4" borderId="25" xfId="0" applyFont="1" applyFill="1" applyBorder="1" applyAlignment="1" applyProtection="1">
      <alignment horizontal="left" vertical="center" wrapText="1"/>
      <protection locked="0"/>
    </xf>
    <xf numFmtId="166" fontId="36" fillId="27" borderId="39" xfId="0" applyNumberFormat="1" applyFont="1" applyFill="1" applyBorder="1" applyAlignment="1">
      <alignment horizontal="center" vertical="center"/>
    </xf>
    <xf numFmtId="166" fontId="36" fillId="27" borderId="33" xfId="0" applyNumberFormat="1" applyFont="1" applyFill="1" applyBorder="1" applyAlignment="1">
      <alignment horizontal="center" vertical="center"/>
    </xf>
    <xf numFmtId="0" fontId="10" fillId="27" borderId="39" xfId="0" applyFont="1" applyFill="1" applyBorder="1" applyAlignment="1" applyProtection="1">
      <alignment horizontal="center" vertical="center" wrapText="1"/>
      <protection locked="0"/>
    </xf>
    <xf numFmtId="166" fontId="36" fillId="27" borderId="29" xfId="0" applyNumberFormat="1" applyFont="1" applyFill="1" applyBorder="1" applyAlignment="1">
      <alignment horizontal="center" vertical="center"/>
    </xf>
    <xf numFmtId="2" fontId="22" fillId="14" borderId="0" xfId="0" applyNumberFormat="1" applyFont="1" applyFill="1" applyAlignment="1">
      <alignment horizontal="center"/>
    </xf>
    <xf numFmtId="0" fontId="38" fillId="19" borderId="8" xfId="0" applyFont="1" applyFill="1" applyBorder="1" applyAlignment="1">
      <alignment horizontal="center" vertical="center" wrapText="1"/>
    </xf>
    <xf numFmtId="0" fontId="38" fillId="19" borderId="0" xfId="0" applyFont="1" applyFill="1" applyAlignment="1">
      <alignment horizontal="center" vertical="center" wrapText="1"/>
    </xf>
    <xf numFmtId="0" fontId="16" fillId="4" borderId="47" xfId="0" applyFont="1" applyFill="1" applyBorder="1" applyAlignment="1">
      <alignment horizontal="left" vertical="center"/>
    </xf>
    <xf numFmtId="0" fontId="16" fillId="4" borderId="29" xfId="0" applyFont="1" applyFill="1" applyBorder="1" applyAlignment="1">
      <alignment horizontal="left" vertical="center"/>
    </xf>
    <xf numFmtId="0" fontId="41" fillId="23" borderId="45" xfId="0" applyFont="1" applyFill="1" applyBorder="1" applyAlignment="1">
      <alignment horizontal="center" vertical="center"/>
    </xf>
    <xf numFmtId="0" fontId="41" fillId="23" borderId="28" xfId="0" applyFont="1" applyFill="1" applyBorder="1" applyAlignment="1">
      <alignment horizontal="center" vertical="center"/>
    </xf>
    <xf numFmtId="0" fontId="41" fillId="28" borderId="45" xfId="0" applyFont="1" applyFill="1" applyBorder="1" applyAlignment="1">
      <alignment horizontal="center" vertical="center"/>
    </xf>
    <xf numFmtId="0" fontId="41" fillId="28" borderId="28" xfId="0" applyFont="1" applyFill="1" applyBorder="1" applyAlignment="1">
      <alignment horizontal="center" vertical="center"/>
    </xf>
    <xf numFmtId="0" fontId="40" fillId="3" borderId="42" xfId="0" applyFont="1" applyFill="1" applyBorder="1" applyAlignment="1" applyProtection="1">
      <alignment horizontal="center" vertical="center"/>
      <protection locked="0"/>
    </xf>
    <xf numFmtId="0" fontId="40" fillId="3" borderId="43" xfId="0" applyFont="1" applyFill="1" applyBorder="1" applyAlignment="1" applyProtection="1">
      <alignment horizontal="center" vertical="center"/>
      <protection locked="0"/>
    </xf>
    <xf numFmtId="0" fontId="40" fillId="3" borderId="44" xfId="0" applyFont="1" applyFill="1" applyBorder="1" applyAlignment="1" applyProtection="1">
      <alignment horizontal="center" vertical="center"/>
      <protection locked="0"/>
    </xf>
    <xf numFmtId="0" fontId="5" fillId="5" borderId="14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left" vertical="center"/>
    </xf>
    <xf numFmtId="0" fontId="4" fillId="8" borderId="53" xfId="0" applyFont="1" applyFill="1" applyBorder="1" applyAlignment="1">
      <alignment horizontal="left" vertical="center"/>
    </xf>
    <xf numFmtId="0" fontId="41" fillId="9" borderId="49" xfId="0" applyFont="1" applyFill="1" applyBorder="1" applyAlignment="1">
      <alignment horizontal="center" vertical="center"/>
    </xf>
    <xf numFmtId="0" fontId="41" fillId="9" borderId="50" xfId="0" applyFont="1" applyFill="1" applyBorder="1" applyAlignment="1">
      <alignment horizontal="center" vertical="center"/>
    </xf>
    <xf numFmtId="49" fontId="4" fillId="28" borderId="28" xfId="0" applyNumberFormat="1" applyFont="1" applyFill="1" applyBorder="1" applyAlignment="1">
      <alignment horizontal="center" vertical="center"/>
    </xf>
    <xf numFmtId="0" fontId="16" fillId="0" borderId="30" xfId="0" applyFont="1" applyBorder="1" applyAlignment="1">
      <alignment horizontal="left" vertical="center"/>
    </xf>
    <xf numFmtId="0" fontId="16" fillId="0" borderId="52" xfId="0" applyFont="1" applyBorder="1" applyAlignment="1">
      <alignment horizontal="left" vertical="center"/>
    </xf>
    <xf numFmtId="0" fontId="16" fillId="0" borderId="31" xfId="0" applyFont="1" applyBorder="1" applyAlignment="1">
      <alignment horizontal="left" vertical="center"/>
    </xf>
    <xf numFmtId="0" fontId="16" fillId="0" borderId="53" xfId="0" applyFont="1" applyBorder="1" applyAlignment="1">
      <alignment horizontal="left"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16" fillId="22" borderId="0" xfId="0" applyFont="1" applyFill="1" applyAlignment="1">
      <alignment horizontal="justify" vertical="center" wrapText="1"/>
    </xf>
    <xf numFmtId="0" fontId="10" fillId="3" borderId="38" xfId="0" applyFont="1" applyFill="1" applyBorder="1" applyAlignment="1">
      <alignment horizontal="center" vertical="center" wrapText="1"/>
    </xf>
    <xf numFmtId="2" fontId="10" fillId="5" borderId="0" xfId="0" applyNumberFormat="1" applyFont="1" applyFill="1" applyAlignment="1">
      <alignment horizontal="center" wrapText="1"/>
    </xf>
    <xf numFmtId="0" fontId="16" fillId="0" borderId="32" xfId="0" applyFont="1" applyBorder="1" applyAlignment="1">
      <alignment horizontal="left" vertical="center"/>
    </xf>
    <xf numFmtId="0" fontId="16" fillId="0" borderId="54" xfId="0" applyFont="1" applyBorder="1" applyAlignment="1">
      <alignment horizontal="left" vertical="center"/>
    </xf>
    <xf numFmtId="0" fontId="11" fillId="9" borderId="3" xfId="0" applyFont="1" applyFill="1" applyBorder="1" applyAlignment="1">
      <alignment horizontal="center" vertical="center" wrapText="1"/>
    </xf>
    <xf numFmtId="0" fontId="11" fillId="9" borderId="5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wrapText="1"/>
    </xf>
    <xf numFmtId="0" fontId="19" fillId="29" borderId="35" xfId="0" applyFont="1" applyFill="1" applyBorder="1" applyAlignment="1">
      <alignment horizontal="center" vertical="center"/>
    </xf>
    <xf numFmtId="0" fontId="19" fillId="29" borderId="3" xfId="0" applyFont="1" applyFill="1" applyBorder="1" applyAlignment="1">
      <alignment horizontal="right" vertical="center"/>
    </xf>
    <xf numFmtId="0" fontId="5" fillId="3" borderId="14" xfId="0" applyFont="1" applyFill="1" applyBorder="1" applyAlignment="1" applyProtection="1">
      <alignment horizontal="center" vertical="center"/>
      <protection locked="0"/>
    </xf>
    <xf numFmtId="0" fontId="5" fillId="3" borderId="16" xfId="0" applyFont="1" applyFill="1" applyBorder="1" applyAlignment="1" applyProtection="1">
      <alignment horizontal="center" vertical="center"/>
      <protection locked="0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4" fillId="4" borderId="13" xfId="0" applyFont="1" applyFill="1" applyBorder="1" applyAlignment="1" applyProtection="1">
      <alignment horizontal="center" vertical="center"/>
      <protection locked="0"/>
    </xf>
    <xf numFmtId="0" fontId="4" fillId="4" borderId="38" xfId="0" applyFont="1" applyFill="1" applyBorder="1" applyAlignment="1" applyProtection="1">
      <alignment horizontal="center" vertical="center"/>
      <protection locked="0"/>
    </xf>
    <xf numFmtId="0" fontId="20" fillId="5" borderId="1" xfId="0" applyFont="1" applyFill="1" applyBorder="1" applyAlignment="1">
      <alignment horizontal="center" vertical="center" wrapText="1"/>
    </xf>
  </cellXfs>
  <cellStyles count="13">
    <cellStyle name="Excel Built-in Excel Built-in Excel Built-in Excel Built-in Excel Built-in Excel Built-in Excel Built-in Excel Built-in 20% - Accent1" xfId="4"/>
    <cellStyle name="Moeda" xfId="2" builtinId="4"/>
    <cellStyle name="Moeda 2" xfId="5"/>
    <cellStyle name="Moeda 3" xfId="8"/>
    <cellStyle name="Normal" xfId="0" builtinId="0"/>
    <cellStyle name="Normal 2" xfId="6"/>
    <cellStyle name="Normal 2 2" xfId="9"/>
    <cellStyle name="Normal 3" xfId="12"/>
    <cellStyle name="Porcentagem" xfId="3" builtinId="5"/>
    <cellStyle name="Separador de milhares 2" xfId="7"/>
    <cellStyle name="Separador de milhares 2 2" xfId="10"/>
    <cellStyle name="Vírgula" xfId="1" builtinId="3"/>
    <cellStyle name="Vírgula 2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A0CE73"/>
      <rgbColor rgb="000000FF"/>
      <rgbColor rgb="00FFFF66"/>
      <rgbColor rgb="00FFCCFF"/>
      <rgbColor rgb="00B4C6E7"/>
      <rgbColor rgb="00C00000"/>
      <rgbColor rgb="00CAFFA2"/>
      <rgbColor rgb="00000080"/>
      <rgbColor rgb="00669933"/>
      <rgbColor rgb="00DAE3F3"/>
      <rgbColor rgb="0034689C"/>
      <rgbColor rgb="00CCCCCC"/>
      <rgbColor rgb="00808080"/>
      <rgbColor rgb="009999CC"/>
      <rgbColor rgb="00B2B2B2"/>
      <rgbColor rgb="00FFFFCC"/>
      <rgbColor rgb="00CCFFFF"/>
      <rgbColor rgb="00EEEEEE"/>
      <rgbColor rgb="00CC9966"/>
      <rgbColor rgb="00006699"/>
      <rgbColor rgb="00CCCCFF"/>
      <rgbColor rgb="00FFF2CC"/>
      <rgbColor rgb="00FFCCCC"/>
      <rgbColor rgb="00FFE699"/>
      <rgbColor rgb="00ABCE7C"/>
      <rgbColor rgb="00FCE4D6"/>
      <rgbColor rgb="00CC0000"/>
      <rgbColor rgb="00336699"/>
      <rgbColor rgb="003333FF"/>
      <rgbColor rgb="009DC3E6"/>
      <rgbColor rgb="00CFE7F5"/>
      <rgbColor rgb="00CBFFD0"/>
      <rgbColor rgb="00FFFF99"/>
      <rgbColor rgb="0099CCFF"/>
      <rgbColor rgb="00F7ADAD"/>
      <rgbColor rgb="00CC99CC"/>
      <rgbColor rgb="00FFCC99"/>
      <rgbColor rgb="003465A4"/>
      <rgbColor rgb="006C9ED8"/>
      <rgbColor rgb="0066CC00"/>
      <rgbColor rgb="00FFCC00"/>
      <rgbColor rgb="00F4B084"/>
      <rgbColor rgb="00999966"/>
      <rgbColor rgb="00666666"/>
      <rgbColor rgb="00999999"/>
      <rgbColor rgb="00E2EFDA"/>
      <rgbColor rgb="00729FCF"/>
      <rgbColor rgb="00181818"/>
      <rgbColor rgb="00D9E1F2"/>
      <rgbColor rgb="00F7CDCD"/>
      <rgbColor rgb="00CCCC99"/>
      <rgbColor rgb="001F4E78"/>
      <rgbColor rgb="00DDDDD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500"/>
  <sheetViews>
    <sheetView tabSelected="1" zoomScale="85" zoomScaleNormal="85" zoomScaleSheetLayoutView="75" workbookViewId="0">
      <selection activeCell="P8" sqref="P8"/>
    </sheetView>
  </sheetViews>
  <sheetFormatPr defaultColWidth="10.85546875" defaultRowHeight="14.65" customHeight="1" x14ac:dyDescent="0.2"/>
  <cols>
    <col min="1" max="1" width="5.42578125" style="1" customWidth="1"/>
    <col min="2" max="2" width="41.85546875" style="2" customWidth="1"/>
    <col min="3" max="3" width="8" style="2" customWidth="1"/>
    <col min="4" max="4" width="24.42578125" style="2" customWidth="1"/>
    <col min="5" max="5" width="8.140625" style="2" customWidth="1"/>
    <col min="6" max="6" width="12.5703125" style="2" customWidth="1"/>
    <col min="7" max="7" width="7.7109375" style="2" customWidth="1"/>
    <col min="8" max="8" width="12.85546875" style="2" customWidth="1"/>
    <col min="9" max="9" width="7.7109375" style="2" customWidth="1"/>
    <col min="10" max="10" width="14.42578125" style="2" customWidth="1"/>
    <col min="11" max="11" width="7.7109375" style="2" customWidth="1"/>
    <col min="12" max="12" width="14.42578125" style="2" customWidth="1"/>
    <col min="13" max="13" width="7.7109375" style="2" customWidth="1"/>
    <col min="14" max="14" width="14.42578125" style="2" customWidth="1"/>
    <col min="15" max="15" width="7.7109375" style="2" customWidth="1"/>
    <col min="16" max="16" width="14.42578125" style="2" customWidth="1"/>
    <col min="17" max="17" width="7.7109375" style="2" customWidth="1"/>
    <col min="18" max="18" width="14.42578125" style="2" customWidth="1"/>
    <col min="19" max="19" width="14.28515625" style="2" bestFit="1" customWidth="1"/>
    <col min="20" max="20" width="14.85546875" style="2" customWidth="1"/>
    <col min="21" max="21" width="15.5703125" style="2" bestFit="1" customWidth="1"/>
    <col min="22" max="16384" width="10.85546875" style="2"/>
  </cols>
  <sheetData>
    <row r="1" spans="1:21" ht="24.4" customHeight="1" x14ac:dyDescent="0.2">
      <c r="A1" s="217" t="s">
        <v>233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</row>
    <row r="2" spans="1:21" ht="12.75" customHeight="1" x14ac:dyDescent="0.2">
      <c r="A2" s="221" t="s">
        <v>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</row>
    <row r="3" spans="1:21" ht="12.75" customHeight="1" x14ac:dyDescent="0.2">
      <c r="A3" s="221" t="s">
        <v>234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</row>
    <row r="4" spans="1:21" ht="24.4" customHeight="1" x14ac:dyDescent="0.2">
      <c r="A4" s="219" t="s">
        <v>212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</row>
    <row r="5" spans="1:21" s="6" customFormat="1" ht="14.65" customHeight="1" x14ac:dyDescent="0.2">
      <c r="A5" s="216"/>
      <c r="B5" s="216"/>
      <c r="C5" s="216"/>
      <c r="D5" s="216"/>
      <c r="E5" s="216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</row>
    <row r="6" spans="1:21" ht="34.5" customHeight="1" x14ac:dyDescent="0.2">
      <c r="A6" s="7"/>
      <c r="B6" s="8"/>
      <c r="C6" s="8"/>
      <c r="D6" s="227" t="s">
        <v>211</v>
      </c>
      <c r="E6" s="227"/>
      <c r="F6" s="224" t="s">
        <v>210</v>
      </c>
      <c r="G6" s="224"/>
      <c r="H6" s="225" t="s">
        <v>248</v>
      </c>
      <c r="I6" s="225"/>
      <c r="J6" s="231" t="s">
        <v>215</v>
      </c>
      <c r="K6" s="231"/>
      <c r="L6" s="231" t="s">
        <v>216</v>
      </c>
      <c r="M6" s="231"/>
      <c r="N6" s="231" t="s">
        <v>237</v>
      </c>
      <c r="O6" s="231"/>
      <c r="P6" s="231" t="s">
        <v>238</v>
      </c>
      <c r="Q6" s="231"/>
      <c r="R6" s="9"/>
    </row>
    <row r="7" spans="1:21" s="16" customFormat="1" ht="25.35" customHeight="1" x14ac:dyDescent="0.2">
      <c r="A7" s="10" t="s">
        <v>4</v>
      </c>
      <c r="B7" s="10" t="s">
        <v>5</v>
      </c>
      <c r="C7" s="11" t="s">
        <v>6</v>
      </c>
      <c r="D7" s="12" t="s">
        <v>7</v>
      </c>
      <c r="E7" s="13" t="s">
        <v>8</v>
      </c>
      <c r="F7" s="14" t="s">
        <v>9</v>
      </c>
      <c r="G7" s="14" t="s">
        <v>8</v>
      </c>
      <c r="H7" s="15" t="s">
        <v>10</v>
      </c>
      <c r="I7" s="15" t="s">
        <v>8</v>
      </c>
      <c r="J7" s="13" t="s">
        <v>11</v>
      </c>
      <c r="K7" s="13" t="s">
        <v>8</v>
      </c>
      <c r="L7" s="13" t="s">
        <v>11</v>
      </c>
      <c r="M7" s="13" t="s">
        <v>8</v>
      </c>
      <c r="N7" s="13" t="s">
        <v>11</v>
      </c>
      <c r="O7" s="13" t="s">
        <v>8</v>
      </c>
      <c r="P7" s="13" t="s">
        <v>11</v>
      </c>
      <c r="Q7" s="13" t="s">
        <v>8</v>
      </c>
      <c r="R7" s="230" t="s">
        <v>220</v>
      </c>
      <c r="S7" s="230" t="s">
        <v>221</v>
      </c>
    </row>
    <row r="8" spans="1:21" ht="15.95" customHeight="1" x14ac:dyDescent="0.2">
      <c r="A8" s="17">
        <v>1</v>
      </c>
      <c r="B8" s="18" t="s">
        <v>213</v>
      </c>
      <c r="C8" s="19">
        <v>0.05</v>
      </c>
      <c r="D8" s="20">
        <f>Postos!$C$121</f>
        <v>6118.29</v>
      </c>
      <c r="E8" s="214">
        <v>1</v>
      </c>
      <c r="F8" s="21">
        <f>Postos!B48</f>
        <v>0</v>
      </c>
      <c r="G8" s="22">
        <v>5</v>
      </c>
      <c r="H8" s="23">
        <v>27.5</v>
      </c>
      <c r="I8" s="24">
        <v>2</v>
      </c>
      <c r="J8" s="25">
        <f>D8/220*(1+'Pernoite, Alimentação e HE'!H8)</f>
        <v>41.715613636363635</v>
      </c>
      <c r="K8" s="26">
        <v>0</v>
      </c>
      <c r="L8" s="25">
        <f>D8/220*(1+'Pernoite, Alimentação e HE'!I8)</f>
        <v>55.62081818181818</v>
      </c>
      <c r="M8" s="26">
        <v>0</v>
      </c>
      <c r="N8" s="25">
        <f>D8/220*(1+'Pernoite, Alimentação e HE'!J8)</f>
        <v>44.496654545454547</v>
      </c>
      <c r="O8" s="26">
        <v>31</v>
      </c>
      <c r="P8" s="25">
        <f>D8/220*(1+'Pernoite, Alimentação e HE'!K8)</f>
        <v>61.182900000000004</v>
      </c>
      <c r="Q8" s="26">
        <v>0</v>
      </c>
      <c r="R8" s="230"/>
      <c r="S8" s="230"/>
    </row>
    <row r="9" spans="1:21" ht="14.65" customHeight="1" x14ac:dyDescent="0.2">
      <c r="A9" s="27"/>
      <c r="B9" s="34" t="s">
        <v>14</v>
      </c>
      <c r="C9" s="29"/>
      <c r="D9" s="30">
        <f>(D8*E8)</f>
        <v>6118.29</v>
      </c>
      <c r="E9" s="31">
        <f>E8*14</f>
        <v>14</v>
      </c>
      <c r="F9" s="30">
        <f>(F8*G8)</f>
        <v>0</v>
      </c>
      <c r="G9" s="31">
        <f>G8*14</f>
        <v>70</v>
      </c>
      <c r="H9" s="30">
        <f>(H8*I8)</f>
        <v>55</v>
      </c>
      <c r="I9" s="31">
        <f>I8*14</f>
        <v>28</v>
      </c>
      <c r="J9" s="30">
        <f>(J8*K8)</f>
        <v>0</v>
      </c>
      <c r="K9" s="31">
        <f>K8*14</f>
        <v>0</v>
      </c>
      <c r="L9" s="30">
        <f>(L8*M8)</f>
        <v>0</v>
      </c>
      <c r="M9" s="31">
        <f>M8*14</f>
        <v>0</v>
      </c>
      <c r="N9" s="30">
        <f>(N8*O9)</f>
        <v>19311.548072727273</v>
      </c>
      <c r="O9" s="31">
        <f>O8*14</f>
        <v>434</v>
      </c>
      <c r="P9" s="30">
        <f>(P8*Q8)</f>
        <v>0</v>
      </c>
      <c r="Q9" s="31">
        <f>Q8*14</f>
        <v>0</v>
      </c>
      <c r="R9" s="30">
        <f>P9+N9+L9+J9+H9+F9+D9</f>
        <v>25484.838072727274</v>
      </c>
      <c r="S9" s="30">
        <f>12*R9</f>
        <v>305818.05687272729</v>
      </c>
    </row>
    <row r="10" spans="1:21" ht="14.65" customHeight="1" x14ac:dyDescent="0.2">
      <c r="A10" s="32"/>
      <c r="B10" s="33"/>
      <c r="C10" s="33"/>
      <c r="D10" s="33"/>
      <c r="E10" s="33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1" ht="8.25" customHeight="1" x14ac:dyDescent="0.2">
      <c r="A11" s="32"/>
      <c r="B11" s="33"/>
      <c r="C11" s="33"/>
      <c r="D11" s="33"/>
      <c r="E11" s="33"/>
      <c r="F11" s="9"/>
      <c r="G11" s="9"/>
      <c r="H11" s="9"/>
      <c r="I11" s="9"/>
      <c r="T11" s="9"/>
    </row>
    <row r="12" spans="1:21" ht="8.25" customHeight="1" x14ac:dyDescent="0.2">
      <c r="A12" s="35"/>
      <c r="B12" s="36"/>
      <c r="C12" s="36"/>
      <c r="D12" s="36"/>
      <c r="E12" s="36"/>
    </row>
    <row r="13" spans="1:21" ht="8.25" customHeight="1" x14ac:dyDescent="0.2">
      <c r="A13" s="35"/>
      <c r="B13" s="36"/>
      <c r="C13" s="36"/>
      <c r="D13" s="36"/>
      <c r="E13" s="36"/>
    </row>
    <row r="14" spans="1:21" ht="8.25" customHeight="1" x14ac:dyDescent="0.2">
      <c r="A14" s="35"/>
      <c r="B14" s="36"/>
      <c r="C14" s="36"/>
      <c r="D14" s="36"/>
      <c r="E14" s="36"/>
    </row>
    <row r="15" spans="1:21" ht="8.25" customHeight="1" x14ac:dyDescent="0.2">
      <c r="A15" s="35"/>
      <c r="B15" s="36"/>
      <c r="C15" s="36"/>
      <c r="D15" s="36"/>
      <c r="E15" s="36"/>
    </row>
    <row r="16" spans="1:21" ht="8.25" customHeight="1" x14ac:dyDescent="0.2">
      <c r="A16" s="35"/>
      <c r="B16" s="36"/>
      <c r="C16" s="36"/>
      <c r="D16" s="36"/>
      <c r="E16" s="36"/>
    </row>
    <row r="17" spans="1:5" ht="8.25" customHeight="1" x14ac:dyDescent="0.2">
      <c r="A17" s="35"/>
      <c r="B17" s="36"/>
      <c r="C17" s="36"/>
      <c r="D17" s="36"/>
      <c r="E17" s="36"/>
    </row>
    <row r="18" spans="1:5" ht="8.25" customHeight="1" x14ac:dyDescent="0.2">
      <c r="A18" s="35"/>
      <c r="B18" s="36"/>
      <c r="C18" s="36"/>
      <c r="D18" s="36"/>
      <c r="E18" s="36"/>
    </row>
    <row r="19" spans="1:5" ht="8.25" customHeight="1" x14ac:dyDescent="0.2">
      <c r="A19" s="35"/>
      <c r="B19" s="36"/>
      <c r="C19" s="36"/>
      <c r="D19" s="36"/>
      <c r="E19" s="36"/>
    </row>
    <row r="20" spans="1:5" ht="8.25" customHeight="1" x14ac:dyDescent="0.2">
      <c r="A20" s="35"/>
      <c r="B20" s="228" t="s">
        <v>255</v>
      </c>
      <c r="C20" s="228"/>
      <c r="D20" s="228"/>
      <c r="E20" s="36"/>
    </row>
    <row r="21" spans="1:5" ht="8.25" customHeight="1" x14ac:dyDescent="0.2">
      <c r="A21" s="35"/>
      <c r="B21" s="229"/>
      <c r="C21" s="229"/>
      <c r="D21" s="229"/>
      <c r="E21" s="36"/>
    </row>
    <row r="22" spans="1:5" ht="8.25" customHeight="1" x14ac:dyDescent="0.2">
      <c r="A22" s="35"/>
      <c r="B22" s="229"/>
      <c r="C22" s="229"/>
      <c r="D22" s="229"/>
      <c r="E22" s="36"/>
    </row>
    <row r="23" spans="1:5" ht="8.25" customHeight="1" x14ac:dyDescent="0.2">
      <c r="A23" s="35"/>
      <c r="B23" s="229"/>
      <c r="C23" s="229"/>
      <c r="D23" s="229"/>
      <c r="E23" s="36"/>
    </row>
    <row r="24" spans="1:5" ht="8.25" customHeight="1" x14ac:dyDescent="0.2">
      <c r="A24" s="35"/>
      <c r="B24" s="229"/>
      <c r="C24" s="229"/>
      <c r="D24" s="229"/>
      <c r="E24" s="36"/>
    </row>
    <row r="25" spans="1:5" ht="8.25" customHeight="1" x14ac:dyDescent="0.2">
      <c r="A25" s="35"/>
      <c r="B25" s="229"/>
      <c r="C25" s="229"/>
      <c r="D25" s="229"/>
      <c r="E25" s="36"/>
    </row>
    <row r="26" spans="1:5" ht="8.25" customHeight="1" x14ac:dyDescent="0.2">
      <c r="A26" s="35"/>
      <c r="B26" s="229"/>
      <c r="C26" s="229"/>
      <c r="D26" s="229"/>
      <c r="E26" s="36"/>
    </row>
    <row r="27" spans="1:5" ht="8.25" customHeight="1" x14ac:dyDescent="0.2">
      <c r="A27" s="35"/>
      <c r="B27" s="36"/>
      <c r="C27" s="36"/>
      <c r="D27" s="36"/>
      <c r="E27" s="36"/>
    </row>
    <row r="28" spans="1:5" ht="8.25" customHeight="1" x14ac:dyDescent="0.2">
      <c r="A28" s="35"/>
      <c r="B28" s="36"/>
      <c r="C28" s="36"/>
      <c r="D28" s="36"/>
      <c r="E28" s="36"/>
    </row>
    <row r="29" spans="1:5" ht="8.25" customHeight="1" x14ac:dyDescent="0.2">
      <c r="A29" s="35"/>
      <c r="B29" s="36"/>
      <c r="C29" s="36"/>
      <c r="D29" s="36"/>
      <c r="E29" s="36"/>
    </row>
    <row r="30" spans="1:5" ht="8.25" customHeight="1" x14ac:dyDescent="0.2">
      <c r="A30" s="35"/>
      <c r="B30" s="36"/>
      <c r="C30" s="36"/>
      <c r="D30" s="36"/>
      <c r="E30" s="36"/>
    </row>
    <row r="31" spans="1:5" ht="8.25" customHeight="1" x14ac:dyDescent="0.2">
      <c r="A31" s="35"/>
      <c r="B31" s="36"/>
      <c r="C31" s="36"/>
      <c r="D31" s="36"/>
      <c r="E31" s="36"/>
    </row>
    <row r="32" spans="1:5" ht="8.25" customHeight="1" x14ac:dyDescent="0.2">
      <c r="A32" s="35"/>
      <c r="B32" s="36"/>
      <c r="C32" s="36"/>
      <c r="D32" s="36"/>
      <c r="E32" s="36"/>
    </row>
    <row r="33" spans="1:5" ht="8.25" customHeight="1" x14ac:dyDescent="0.2">
      <c r="A33" s="35"/>
      <c r="B33" s="36"/>
      <c r="C33" s="36"/>
      <c r="D33" s="36"/>
      <c r="E33" s="36"/>
    </row>
    <row r="34" spans="1:5" ht="8.25" customHeight="1" x14ac:dyDescent="0.2">
      <c r="A34" s="35"/>
      <c r="B34" s="36"/>
      <c r="C34" s="36"/>
      <c r="D34" s="36"/>
      <c r="E34" s="36"/>
    </row>
    <row r="35" spans="1:5" ht="8.25" customHeight="1" x14ac:dyDescent="0.2">
      <c r="A35" s="35"/>
      <c r="B35" s="36"/>
      <c r="C35" s="36"/>
      <c r="D35" s="36"/>
      <c r="E35" s="36"/>
    </row>
    <row r="36" spans="1:5" ht="8.25" customHeight="1" x14ac:dyDescent="0.2">
      <c r="A36" s="35"/>
      <c r="B36" s="36"/>
      <c r="C36" s="36"/>
      <c r="D36" s="36"/>
      <c r="E36" s="36"/>
    </row>
    <row r="37" spans="1:5" ht="8.25" customHeight="1" x14ac:dyDescent="0.2">
      <c r="A37" s="35"/>
      <c r="B37" s="36"/>
      <c r="C37" s="36"/>
      <c r="D37" s="36"/>
      <c r="E37" s="36"/>
    </row>
    <row r="38" spans="1:5" ht="8.25" customHeight="1" x14ac:dyDescent="0.2">
      <c r="A38" s="35"/>
      <c r="B38" s="36"/>
      <c r="C38" s="36"/>
      <c r="D38" s="36"/>
      <c r="E38" s="36"/>
    </row>
    <row r="39" spans="1:5" ht="8.25" customHeight="1" x14ac:dyDescent="0.2">
      <c r="A39" s="35"/>
      <c r="B39" s="36"/>
      <c r="C39" s="36"/>
      <c r="D39" s="36"/>
      <c r="E39" s="36"/>
    </row>
    <row r="40" spans="1:5" ht="8.25" customHeight="1" x14ac:dyDescent="0.2">
      <c r="A40" s="35"/>
      <c r="B40" s="36"/>
      <c r="C40" s="36"/>
      <c r="D40" s="36"/>
      <c r="E40" s="36"/>
    </row>
    <row r="41" spans="1:5" ht="8.25" customHeight="1" x14ac:dyDescent="0.2">
      <c r="A41" s="35"/>
      <c r="B41" s="36"/>
      <c r="C41" s="36"/>
      <c r="D41" s="36"/>
      <c r="E41" s="36"/>
    </row>
    <row r="42" spans="1:5" ht="8.25" customHeight="1" x14ac:dyDescent="0.2">
      <c r="A42" s="35"/>
      <c r="B42" s="36"/>
      <c r="C42" s="36"/>
      <c r="D42" s="36"/>
      <c r="E42" s="36"/>
    </row>
    <row r="43" spans="1:5" ht="8.25" customHeight="1" x14ac:dyDescent="0.2">
      <c r="A43" s="35"/>
      <c r="B43" s="36"/>
      <c r="C43" s="36"/>
      <c r="D43" s="36"/>
      <c r="E43" s="36"/>
    </row>
    <row r="44" spans="1:5" ht="8.25" customHeight="1" x14ac:dyDescent="0.2">
      <c r="A44" s="35"/>
      <c r="B44" s="36"/>
      <c r="C44" s="36"/>
      <c r="D44" s="36"/>
      <c r="E44" s="36"/>
    </row>
    <row r="45" spans="1:5" ht="8.25" customHeight="1" x14ac:dyDescent="0.2">
      <c r="A45" s="35"/>
      <c r="B45" s="36"/>
      <c r="C45" s="36"/>
      <c r="D45" s="36"/>
      <c r="E45" s="36"/>
    </row>
    <row r="46" spans="1:5" ht="8.25" customHeight="1" x14ac:dyDescent="0.2">
      <c r="A46" s="35"/>
      <c r="B46" s="36"/>
      <c r="C46" s="36"/>
      <c r="D46" s="36"/>
      <c r="E46" s="36"/>
    </row>
    <row r="47" spans="1:5" ht="8.25" customHeight="1" x14ac:dyDescent="0.2">
      <c r="A47" s="35"/>
      <c r="B47" s="36"/>
      <c r="C47" s="36"/>
      <c r="D47" s="36"/>
      <c r="E47" s="36"/>
    </row>
    <row r="48" spans="1:5" ht="8.25" customHeight="1" x14ac:dyDescent="0.2">
      <c r="A48" s="35"/>
      <c r="B48" s="36"/>
      <c r="C48" s="36"/>
      <c r="D48" s="36"/>
      <c r="E48" s="36"/>
    </row>
    <row r="49" spans="1:5" ht="8.25" customHeight="1" x14ac:dyDescent="0.2">
      <c r="A49" s="35"/>
      <c r="B49" s="36"/>
      <c r="C49" s="36"/>
      <c r="D49" s="36"/>
      <c r="E49" s="36"/>
    </row>
    <row r="50" spans="1:5" ht="8.25" customHeight="1" x14ac:dyDescent="0.2">
      <c r="A50" s="35"/>
      <c r="B50" s="36"/>
      <c r="C50" s="36"/>
      <c r="D50" s="36"/>
      <c r="E50" s="36"/>
    </row>
    <row r="51" spans="1:5" ht="8.25" customHeight="1" x14ac:dyDescent="0.2">
      <c r="A51" s="35"/>
      <c r="B51" s="36"/>
      <c r="C51" s="36"/>
      <c r="D51" s="36"/>
      <c r="E51" s="36"/>
    </row>
    <row r="52" spans="1:5" ht="8.25" customHeight="1" x14ac:dyDescent="0.2">
      <c r="A52" s="35"/>
      <c r="B52" s="36"/>
      <c r="C52" s="36"/>
      <c r="D52" s="36"/>
      <c r="E52" s="36"/>
    </row>
    <row r="53" spans="1:5" ht="8.25" customHeight="1" x14ac:dyDescent="0.2">
      <c r="A53" s="35"/>
      <c r="B53" s="36"/>
      <c r="C53" s="36"/>
      <c r="D53" s="36"/>
      <c r="E53" s="36"/>
    </row>
    <row r="54" spans="1:5" ht="8.25" customHeight="1" x14ac:dyDescent="0.2">
      <c r="A54" s="35"/>
      <c r="B54" s="36"/>
      <c r="C54" s="36"/>
      <c r="D54" s="36"/>
      <c r="E54" s="36"/>
    </row>
    <row r="55" spans="1:5" ht="8.25" customHeight="1" x14ac:dyDescent="0.2">
      <c r="A55" s="35"/>
      <c r="B55" s="36"/>
      <c r="C55" s="36"/>
      <c r="D55" s="36"/>
      <c r="E55" s="36"/>
    </row>
    <row r="56" spans="1:5" ht="8.25" customHeight="1" x14ac:dyDescent="0.2">
      <c r="A56" s="35"/>
      <c r="B56" s="36"/>
      <c r="C56" s="36"/>
      <c r="D56" s="36"/>
      <c r="E56" s="36"/>
    </row>
    <row r="57" spans="1:5" ht="8.25" customHeight="1" x14ac:dyDescent="0.2">
      <c r="A57" s="35"/>
      <c r="B57" s="36"/>
      <c r="C57" s="36"/>
      <c r="D57" s="36"/>
      <c r="E57" s="36"/>
    </row>
    <row r="58" spans="1:5" ht="8.25" customHeight="1" x14ac:dyDescent="0.2">
      <c r="A58" s="35"/>
      <c r="B58" s="36"/>
      <c r="C58" s="36"/>
      <c r="D58" s="36"/>
      <c r="E58" s="36"/>
    </row>
    <row r="59" spans="1:5" ht="8.25" customHeight="1" x14ac:dyDescent="0.2">
      <c r="A59" s="35"/>
      <c r="B59" s="36"/>
      <c r="C59" s="36"/>
      <c r="D59" s="36"/>
      <c r="E59" s="36"/>
    </row>
    <row r="60" spans="1:5" ht="8.25" customHeight="1" x14ac:dyDescent="0.2">
      <c r="A60" s="35"/>
      <c r="B60" s="36"/>
      <c r="C60" s="36"/>
      <c r="D60" s="36"/>
      <c r="E60" s="36"/>
    </row>
    <row r="61" spans="1:5" ht="8.25" customHeight="1" x14ac:dyDescent="0.2">
      <c r="A61" s="35"/>
      <c r="B61" s="36"/>
      <c r="C61" s="36"/>
      <c r="D61" s="36"/>
      <c r="E61" s="36"/>
    </row>
    <row r="62" spans="1:5" ht="8.25" customHeight="1" x14ac:dyDescent="0.2">
      <c r="A62" s="35"/>
      <c r="B62" s="36"/>
      <c r="C62" s="36"/>
      <c r="D62" s="36"/>
      <c r="E62" s="36"/>
    </row>
    <row r="63" spans="1:5" ht="8.25" customHeight="1" x14ac:dyDescent="0.2">
      <c r="A63" s="35"/>
      <c r="B63" s="36"/>
      <c r="C63" s="36"/>
      <c r="D63" s="36"/>
      <c r="E63" s="36"/>
    </row>
    <row r="64" spans="1:5" ht="8.25" customHeight="1" x14ac:dyDescent="0.2">
      <c r="A64" s="35"/>
      <c r="B64" s="36"/>
      <c r="C64" s="36"/>
      <c r="D64" s="36"/>
      <c r="E64" s="36"/>
    </row>
    <row r="65" spans="1:5" ht="8.25" customHeight="1" x14ac:dyDescent="0.2">
      <c r="A65" s="35"/>
      <c r="B65" s="36"/>
      <c r="C65" s="36"/>
      <c r="D65" s="36"/>
      <c r="E65" s="36"/>
    </row>
    <row r="66" spans="1:5" ht="8.25" customHeight="1" x14ac:dyDescent="0.2">
      <c r="A66" s="35"/>
      <c r="B66" s="36"/>
      <c r="C66" s="36"/>
      <c r="D66" s="36"/>
      <c r="E66" s="36"/>
    </row>
    <row r="67" spans="1:5" ht="8.25" customHeight="1" x14ac:dyDescent="0.2">
      <c r="A67" s="35"/>
      <c r="B67" s="36"/>
      <c r="C67" s="36"/>
      <c r="D67" s="36"/>
      <c r="E67" s="36"/>
    </row>
    <row r="68" spans="1:5" ht="8.25" customHeight="1" x14ac:dyDescent="0.2">
      <c r="A68" s="35"/>
      <c r="B68" s="36"/>
      <c r="C68" s="36"/>
      <c r="D68" s="36"/>
      <c r="E68" s="36"/>
    </row>
    <row r="69" spans="1:5" ht="8.25" customHeight="1" x14ac:dyDescent="0.2">
      <c r="A69" s="35"/>
      <c r="B69" s="36"/>
      <c r="C69" s="36"/>
      <c r="D69" s="36"/>
      <c r="E69" s="36"/>
    </row>
    <row r="70" spans="1:5" ht="8.25" customHeight="1" x14ac:dyDescent="0.2">
      <c r="A70" s="35"/>
      <c r="B70" s="36"/>
      <c r="C70" s="36"/>
      <c r="D70" s="36"/>
      <c r="E70" s="36"/>
    </row>
    <row r="71" spans="1:5" ht="8.25" customHeight="1" x14ac:dyDescent="0.2">
      <c r="A71" s="35"/>
      <c r="B71" s="36"/>
      <c r="C71" s="36"/>
      <c r="D71" s="36"/>
      <c r="E71" s="36"/>
    </row>
    <row r="72" spans="1:5" ht="8.25" customHeight="1" x14ac:dyDescent="0.2">
      <c r="A72" s="35"/>
      <c r="B72" s="36"/>
      <c r="C72" s="36"/>
      <c r="D72" s="36"/>
      <c r="E72" s="36"/>
    </row>
    <row r="73" spans="1:5" ht="8.25" customHeight="1" x14ac:dyDescent="0.2">
      <c r="A73" s="35"/>
      <c r="B73" s="36"/>
      <c r="C73" s="36"/>
      <c r="D73" s="36"/>
      <c r="E73" s="36"/>
    </row>
    <row r="74" spans="1:5" ht="8.25" customHeight="1" x14ac:dyDescent="0.2">
      <c r="A74" s="35"/>
      <c r="B74" s="36"/>
      <c r="C74" s="36"/>
      <c r="D74" s="36"/>
      <c r="E74" s="36"/>
    </row>
    <row r="75" spans="1:5" ht="8.25" customHeight="1" x14ac:dyDescent="0.2">
      <c r="A75" s="35"/>
      <c r="B75" s="36"/>
      <c r="C75" s="36"/>
      <c r="D75" s="36"/>
      <c r="E75" s="36"/>
    </row>
    <row r="76" spans="1:5" ht="8.25" customHeight="1" x14ac:dyDescent="0.2">
      <c r="A76" s="35"/>
      <c r="B76" s="36"/>
      <c r="C76" s="36"/>
      <c r="D76" s="36"/>
      <c r="E76" s="36"/>
    </row>
    <row r="77" spans="1:5" ht="8.25" customHeight="1" x14ac:dyDescent="0.2">
      <c r="A77" s="35"/>
      <c r="B77" s="36"/>
      <c r="C77" s="36"/>
      <c r="D77" s="36"/>
      <c r="E77" s="36"/>
    </row>
    <row r="78" spans="1:5" ht="8.25" customHeight="1" x14ac:dyDescent="0.2">
      <c r="A78" s="35"/>
      <c r="B78" s="36"/>
      <c r="C78" s="36"/>
      <c r="D78" s="36"/>
      <c r="E78" s="36"/>
    </row>
    <row r="79" spans="1:5" ht="8.25" customHeight="1" x14ac:dyDescent="0.2">
      <c r="A79" s="35"/>
      <c r="B79" s="36"/>
      <c r="C79" s="36"/>
      <c r="D79" s="36"/>
      <c r="E79" s="36"/>
    </row>
    <row r="80" spans="1:5" ht="8.25" customHeight="1" x14ac:dyDescent="0.2">
      <c r="A80" s="35"/>
      <c r="B80" s="36"/>
      <c r="C80" s="36"/>
      <c r="D80" s="36"/>
      <c r="E80" s="36"/>
    </row>
    <row r="81" spans="1:5" ht="8.25" customHeight="1" x14ac:dyDescent="0.2">
      <c r="A81" s="35"/>
      <c r="B81" s="36"/>
      <c r="C81" s="36"/>
      <c r="D81" s="36"/>
      <c r="E81" s="36"/>
    </row>
    <row r="82" spans="1:5" ht="8.25" customHeight="1" x14ac:dyDescent="0.2">
      <c r="A82" s="35"/>
      <c r="B82" s="36"/>
      <c r="C82" s="36"/>
      <c r="D82" s="36"/>
      <c r="E82" s="36"/>
    </row>
    <row r="83" spans="1:5" ht="8.25" customHeight="1" x14ac:dyDescent="0.2">
      <c r="A83" s="35"/>
      <c r="B83" s="36"/>
      <c r="C83" s="36"/>
      <c r="D83" s="36"/>
      <c r="E83" s="36"/>
    </row>
    <row r="84" spans="1:5" ht="8.25" customHeight="1" x14ac:dyDescent="0.2">
      <c r="A84" s="35"/>
      <c r="B84" s="36"/>
      <c r="C84" s="36"/>
      <c r="D84" s="36"/>
      <c r="E84" s="36"/>
    </row>
    <row r="85" spans="1:5" ht="8.25" customHeight="1" x14ac:dyDescent="0.2">
      <c r="A85" s="35"/>
      <c r="B85" s="36"/>
      <c r="C85" s="36"/>
      <c r="D85" s="36"/>
      <c r="E85" s="36"/>
    </row>
    <row r="86" spans="1:5" ht="17.100000000000001" customHeight="1" x14ac:dyDescent="0.2">
      <c r="A86" s="226" t="s">
        <v>15</v>
      </c>
      <c r="B86" s="226"/>
      <c r="C86" s="226"/>
      <c r="D86" s="226"/>
      <c r="E86" s="226"/>
    </row>
    <row r="87" spans="1:5" ht="59.65" customHeight="1" x14ac:dyDescent="0.2">
      <c r="A87" s="222" t="s">
        <v>16</v>
      </c>
      <c r="B87" s="222"/>
      <c r="C87" s="222"/>
      <c r="D87" s="222"/>
      <c r="E87" s="222"/>
    </row>
    <row r="88" spans="1:5" ht="31.5" customHeight="1" x14ac:dyDescent="0.2">
      <c r="A88" s="37" t="s">
        <v>17</v>
      </c>
      <c r="B88" s="37" t="s">
        <v>18</v>
      </c>
      <c r="C88" s="37"/>
      <c r="D88" s="38" t="s">
        <v>19</v>
      </c>
      <c r="E88" s="38" t="s">
        <v>20</v>
      </c>
    </row>
    <row r="89" spans="1:5" ht="31.5" customHeight="1" x14ac:dyDescent="0.25">
      <c r="A89" s="37">
        <v>1</v>
      </c>
      <c r="B89" s="39" t="s">
        <v>21</v>
      </c>
      <c r="C89" s="39"/>
      <c r="D89" s="40" t="e">
        <f t="shared" ref="D89:D91" si="0">NA()</f>
        <v>#N/A</v>
      </c>
      <c r="E89" s="40" t="e">
        <f t="shared" ref="E89:E90" si="1">SUM(D89*30)</f>
        <v>#N/A</v>
      </c>
    </row>
    <row r="90" spans="1:5" ht="31.5" customHeight="1" x14ac:dyDescent="0.25">
      <c r="A90" s="37">
        <v>2</v>
      </c>
      <c r="B90" s="39" t="s">
        <v>22</v>
      </c>
      <c r="C90" s="39"/>
      <c r="D90" s="40" t="e">
        <f t="shared" si="0"/>
        <v>#N/A</v>
      </c>
      <c r="E90" s="40" t="e">
        <f t="shared" si="1"/>
        <v>#N/A</v>
      </c>
    </row>
    <row r="91" spans="1:5" ht="17.45" customHeight="1" x14ac:dyDescent="0.25">
      <c r="A91" s="37">
        <v>3</v>
      </c>
      <c r="B91" s="39" t="s">
        <v>23</v>
      </c>
      <c r="C91" s="39"/>
      <c r="D91" s="41" t="e">
        <f t="shared" si="0"/>
        <v>#N/A</v>
      </c>
      <c r="E91" s="40" t="e">
        <f>SUM(D91*3000)</f>
        <v>#N/A</v>
      </c>
    </row>
    <row r="92" spans="1:5" ht="17.100000000000001" customHeight="1" x14ac:dyDescent="0.25">
      <c r="A92" s="37">
        <v>4</v>
      </c>
      <c r="B92" s="42" t="s">
        <v>24</v>
      </c>
      <c r="C92" s="42"/>
      <c r="D92" s="40">
        <v>138.47</v>
      </c>
      <c r="E92" s="40">
        <f>SUM(D92*4)</f>
        <v>553.88</v>
      </c>
    </row>
    <row r="93" spans="1:5" ht="17.100000000000001" customHeight="1" x14ac:dyDescent="0.25">
      <c r="A93" s="37">
        <v>5</v>
      </c>
      <c r="B93" s="42" t="s">
        <v>25</v>
      </c>
      <c r="C93" s="42"/>
      <c r="D93" s="40">
        <v>12.5</v>
      </c>
      <c r="E93" s="40">
        <f>SUM(D93*20)</f>
        <v>250</v>
      </c>
    </row>
    <row r="94" spans="1:5" ht="17.100000000000001" customHeight="1" x14ac:dyDescent="0.25">
      <c r="A94" s="37">
        <v>6</v>
      </c>
      <c r="B94" s="43" t="s">
        <v>26</v>
      </c>
      <c r="C94" s="43"/>
      <c r="D94" s="40">
        <v>500</v>
      </c>
      <c r="E94" s="40">
        <v>500</v>
      </c>
    </row>
    <row r="95" spans="1:5" ht="17.100000000000001" customHeight="1" x14ac:dyDescent="0.2">
      <c r="A95" s="222" t="s">
        <v>27</v>
      </c>
      <c r="B95" s="222"/>
      <c r="C95" s="44"/>
      <c r="D95" s="223" t="e">
        <f>ROUNDUP(E89+E90+E91+E92+E93+E94,0)</f>
        <v>#N/A</v>
      </c>
      <c r="E95" s="223"/>
    </row>
    <row r="96" spans="1:5" ht="17.100000000000001" customHeight="1" x14ac:dyDescent="0.2">
      <c r="A96" s="222" t="s">
        <v>28</v>
      </c>
      <c r="B96" s="222"/>
      <c r="C96" s="44"/>
      <c r="D96" s="223" t="e">
        <f>SUM(D95*2)</f>
        <v>#N/A</v>
      </c>
      <c r="E96" s="223"/>
    </row>
    <row r="97" spans="1:5" ht="17.100000000000001" customHeight="1" x14ac:dyDescent="0.2">
      <c r="A97" s="222" t="s">
        <v>29</v>
      </c>
      <c r="B97" s="222"/>
      <c r="C97" s="44"/>
      <c r="D97" s="223" t="e">
        <f>SUM(D95*12)</f>
        <v>#N/A</v>
      </c>
      <c r="E97" s="223"/>
    </row>
    <row r="98" spans="1:5" ht="17.100000000000001" customHeight="1" x14ac:dyDescent="0.2">
      <c r="A98" s="222" t="s">
        <v>30</v>
      </c>
      <c r="B98" s="222"/>
      <c r="C98" s="44"/>
      <c r="D98" s="223" t="e">
        <f>SUM(D97*2)</f>
        <v>#N/A</v>
      </c>
      <c r="E98" s="223"/>
    </row>
    <row r="99" spans="1:5" ht="7.5" customHeight="1" x14ac:dyDescent="0.2">
      <c r="A99" s="35"/>
      <c r="B99" s="36"/>
      <c r="C99" s="36"/>
      <c r="D99" s="36"/>
      <c r="E99" s="36"/>
    </row>
    <row r="100" spans="1:5" ht="17.100000000000001" customHeight="1" x14ac:dyDescent="0.2">
      <c r="A100" s="226" t="s">
        <v>31</v>
      </c>
      <c r="B100" s="226"/>
      <c r="C100" s="226"/>
      <c r="D100" s="226"/>
      <c r="E100" s="226"/>
    </row>
    <row r="101" spans="1:5" ht="45.6" customHeight="1" x14ac:dyDescent="0.2">
      <c r="A101" s="222" t="s">
        <v>32</v>
      </c>
      <c r="B101" s="222"/>
      <c r="C101" s="222"/>
      <c r="D101" s="222"/>
      <c r="E101" s="222"/>
    </row>
    <row r="102" spans="1:5" ht="31.5" customHeight="1" x14ac:dyDescent="0.2">
      <c r="A102" s="37" t="s">
        <v>17</v>
      </c>
      <c r="B102" s="37" t="s">
        <v>18</v>
      </c>
      <c r="C102" s="37"/>
      <c r="D102" s="38" t="s">
        <v>19</v>
      </c>
      <c r="E102" s="38" t="s">
        <v>20</v>
      </c>
    </row>
    <row r="103" spans="1:5" ht="31.5" customHeight="1" x14ac:dyDescent="0.25">
      <c r="A103" s="37">
        <v>1</v>
      </c>
      <c r="B103" s="39" t="s">
        <v>33</v>
      </c>
      <c r="C103" s="39"/>
      <c r="D103" s="40" t="e">
        <f t="shared" ref="D103:D104" si="2">NA()</f>
        <v>#N/A</v>
      </c>
      <c r="E103" s="40" t="e">
        <f>SUM(D103*30)</f>
        <v>#N/A</v>
      </c>
    </row>
    <row r="104" spans="1:5" ht="17.45" customHeight="1" x14ac:dyDescent="0.25">
      <c r="A104" s="37">
        <v>2</v>
      </c>
      <c r="B104" s="39" t="s">
        <v>23</v>
      </c>
      <c r="C104" s="39"/>
      <c r="D104" s="41" t="e">
        <f t="shared" si="2"/>
        <v>#N/A</v>
      </c>
      <c r="E104" s="40" t="e">
        <f>SUM(D104*3000)</f>
        <v>#N/A</v>
      </c>
    </row>
    <row r="105" spans="1:5" ht="17.100000000000001" customHeight="1" x14ac:dyDescent="0.25">
      <c r="A105" s="37">
        <v>3</v>
      </c>
      <c r="B105" s="42" t="s">
        <v>26</v>
      </c>
      <c r="C105" s="42"/>
      <c r="D105" s="40">
        <v>500</v>
      </c>
      <c r="E105" s="40">
        <v>500</v>
      </c>
    </row>
    <row r="106" spans="1:5" ht="17.100000000000001" customHeight="1" x14ac:dyDescent="0.2">
      <c r="A106" s="222" t="s">
        <v>27</v>
      </c>
      <c r="B106" s="222"/>
      <c r="C106" s="44"/>
      <c r="D106" s="223" t="e">
        <f>ROUNDUP(E103+E104+E105,0)</f>
        <v>#N/A</v>
      </c>
      <c r="E106" s="223"/>
    </row>
    <row r="107" spans="1:5" ht="17.100000000000001" customHeight="1" x14ac:dyDescent="0.2">
      <c r="A107" s="222" t="s">
        <v>28</v>
      </c>
      <c r="B107" s="222"/>
      <c r="C107" s="44"/>
      <c r="D107" s="223" t="e">
        <f>SUM(D106*2)</f>
        <v>#N/A</v>
      </c>
      <c r="E107" s="223"/>
    </row>
    <row r="108" spans="1:5" ht="17.100000000000001" customHeight="1" x14ac:dyDescent="0.2">
      <c r="A108" s="222" t="s">
        <v>29</v>
      </c>
      <c r="B108" s="222"/>
      <c r="C108" s="44"/>
      <c r="D108" s="223" t="e">
        <f>SUM(D106*12)</f>
        <v>#N/A</v>
      </c>
      <c r="E108" s="223"/>
    </row>
    <row r="109" spans="1:5" ht="17.100000000000001" customHeight="1" x14ac:dyDescent="0.2">
      <c r="A109" s="222" t="s">
        <v>30</v>
      </c>
      <c r="B109" s="222"/>
      <c r="C109" s="44"/>
      <c r="D109" s="223" t="e">
        <f>SUM(D108*2)</f>
        <v>#N/A</v>
      </c>
      <c r="E109" s="223"/>
    </row>
    <row r="110" spans="1:5" ht="7.5" customHeight="1" x14ac:dyDescent="0.2">
      <c r="A110" s="35"/>
      <c r="B110" s="36"/>
      <c r="C110" s="36"/>
      <c r="D110" s="36"/>
      <c r="E110" s="36"/>
    </row>
    <row r="111" spans="1:5" ht="17.100000000000001" customHeight="1" x14ac:dyDescent="0.2">
      <c r="A111" s="226" t="s">
        <v>34</v>
      </c>
      <c r="B111" s="226"/>
      <c r="C111" s="226"/>
      <c r="D111" s="226"/>
      <c r="E111" s="226"/>
    </row>
    <row r="112" spans="1:5" ht="45.6" customHeight="1" x14ac:dyDescent="0.2">
      <c r="A112" s="222" t="s">
        <v>35</v>
      </c>
      <c r="B112" s="222"/>
      <c r="C112" s="222"/>
      <c r="D112" s="222"/>
      <c r="E112" s="222"/>
    </row>
    <row r="113" spans="1:5" ht="31.5" customHeight="1" x14ac:dyDescent="0.2">
      <c r="A113" s="37" t="s">
        <v>17</v>
      </c>
      <c r="B113" s="37" t="s">
        <v>18</v>
      </c>
      <c r="C113" s="37"/>
      <c r="D113" s="38" t="s">
        <v>19</v>
      </c>
      <c r="E113" s="38" t="s">
        <v>20</v>
      </c>
    </row>
    <row r="114" spans="1:5" ht="17.45" customHeight="1" x14ac:dyDescent="0.25">
      <c r="A114" s="37">
        <v>1</v>
      </c>
      <c r="B114" s="39" t="s">
        <v>36</v>
      </c>
      <c r="C114" s="39"/>
      <c r="D114" s="40" t="e">
        <f t="shared" ref="D114:D116" si="3">NA()</f>
        <v>#N/A</v>
      </c>
      <c r="E114" s="40" t="e">
        <f t="shared" ref="E114:E115" si="4">SUM(D114*4)</f>
        <v>#N/A</v>
      </c>
    </row>
    <row r="115" spans="1:5" ht="31.5" customHeight="1" x14ac:dyDescent="0.25">
      <c r="A115" s="37">
        <v>2</v>
      </c>
      <c r="B115" s="39" t="s">
        <v>37</v>
      </c>
      <c r="C115" s="39"/>
      <c r="D115" s="40" t="e">
        <f t="shared" si="3"/>
        <v>#N/A</v>
      </c>
      <c r="E115" s="40" t="e">
        <f t="shared" si="4"/>
        <v>#N/A</v>
      </c>
    </row>
    <row r="116" spans="1:5" ht="31.5" customHeight="1" x14ac:dyDescent="0.25">
      <c r="A116" s="37">
        <v>3</v>
      </c>
      <c r="B116" s="39" t="s">
        <v>38</v>
      </c>
      <c r="C116" s="39"/>
      <c r="D116" s="41" t="e">
        <f t="shared" si="3"/>
        <v>#N/A</v>
      </c>
      <c r="E116" s="40" t="e">
        <f>SUM(D116*2000)</f>
        <v>#N/A</v>
      </c>
    </row>
    <row r="117" spans="1:5" ht="17.100000000000001" customHeight="1" x14ac:dyDescent="0.25">
      <c r="A117" s="37">
        <v>4</v>
      </c>
      <c r="B117" s="42" t="s">
        <v>39</v>
      </c>
      <c r="C117" s="42"/>
      <c r="D117" s="40">
        <v>138.47</v>
      </c>
      <c r="E117" s="40">
        <f>SUM(D117*2)</f>
        <v>276.94</v>
      </c>
    </row>
    <row r="118" spans="1:5" ht="17.100000000000001" customHeight="1" x14ac:dyDescent="0.25">
      <c r="A118" s="37">
        <v>5</v>
      </c>
      <c r="B118" s="42" t="s">
        <v>40</v>
      </c>
      <c r="C118" s="42"/>
      <c r="D118" s="40">
        <v>12.5</v>
      </c>
      <c r="E118" s="40">
        <f>SUM(D118*5)</f>
        <v>62.5</v>
      </c>
    </row>
    <row r="119" spans="1:5" ht="17.100000000000001" customHeight="1" x14ac:dyDescent="0.25">
      <c r="A119" s="37">
        <v>6</v>
      </c>
      <c r="B119" s="43" t="s">
        <v>41</v>
      </c>
      <c r="C119" s="43"/>
      <c r="D119" s="40">
        <v>50</v>
      </c>
      <c r="E119" s="40">
        <f>SUM(D119*4)</f>
        <v>200</v>
      </c>
    </row>
    <row r="120" spans="1:5" ht="17.100000000000001" customHeight="1" x14ac:dyDescent="0.2">
      <c r="A120" s="222" t="s">
        <v>27</v>
      </c>
      <c r="B120" s="222"/>
      <c r="C120" s="44"/>
      <c r="D120" s="223" t="e">
        <f>ROUNDUP(E114+E115+E116+E117+E118+E119,0)</f>
        <v>#N/A</v>
      </c>
      <c r="E120" s="223"/>
    </row>
    <row r="121" spans="1:5" ht="17.100000000000001" customHeight="1" x14ac:dyDescent="0.2">
      <c r="A121" s="222" t="s">
        <v>29</v>
      </c>
      <c r="B121" s="222"/>
      <c r="C121" s="44"/>
      <c r="D121" s="223" t="e">
        <f>SUM(D120*12)</f>
        <v>#N/A</v>
      </c>
      <c r="E121" s="223"/>
    </row>
    <row r="122" spans="1:5" ht="8.25" customHeight="1" x14ac:dyDescent="0.2">
      <c r="A122" s="35"/>
      <c r="B122" s="36"/>
      <c r="C122" s="36"/>
      <c r="D122" s="36"/>
      <c r="E122" s="36"/>
    </row>
    <row r="123" spans="1:5" ht="17.100000000000001" customHeight="1" x14ac:dyDescent="0.2">
      <c r="A123" s="226" t="s">
        <v>42</v>
      </c>
      <c r="B123" s="226"/>
      <c r="C123" s="226"/>
      <c r="D123" s="226"/>
      <c r="E123" s="226"/>
    </row>
    <row r="124" spans="1:5" ht="45.6" customHeight="1" x14ac:dyDescent="0.2">
      <c r="A124" s="222" t="s">
        <v>43</v>
      </c>
      <c r="B124" s="222"/>
      <c r="C124" s="222"/>
      <c r="D124" s="222"/>
      <c r="E124" s="222"/>
    </row>
    <row r="125" spans="1:5" ht="31.5" customHeight="1" x14ac:dyDescent="0.2">
      <c r="A125" s="37" t="s">
        <v>17</v>
      </c>
      <c r="B125" s="37" t="s">
        <v>18</v>
      </c>
      <c r="C125" s="37"/>
      <c r="D125" s="38" t="s">
        <v>19</v>
      </c>
      <c r="E125" s="38" t="s">
        <v>20</v>
      </c>
    </row>
    <row r="126" spans="1:5" ht="17.45" customHeight="1" x14ac:dyDescent="0.25">
      <c r="A126" s="37">
        <v>1</v>
      </c>
      <c r="B126" s="39" t="s">
        <v>36</v>
      </c>
      <c r="C126" s="39"/>
      <c r="D126" s="40">
        <v>529.97500000000002</v>
      </c>
      <c r="E126" s="40">
        <f t="shared" ref="E126:E127" si="5">SUM(D126*4)</f>
        <v>2119.9</v>
      </c>
    </row>
    <row r="127" spans="1:5" ht="31.5" customHeight="1" x14ac:dyDescent="0.25">
      <c r="A127" s="37">
        <v>2</v>
      </c>
      <c r="B127" s="39" t="s">
        <v>37</v>
      </c>
      <c r="C127" s="39"/>
      <c r="D127" s="40" t="e">
        <f t="shared" ref="D127:D128" si="6">NA()</f>
        <v>#N/A</v>
      </c>
      <c r="E127" s="40" t="e">
        <f t="shared" si="5"/>
        <v>#N/A</v>
      </c>
    </row>
    <row r="128" spans="1:5" ht="31.5" customHeight="1" x14ac:dyDescent="0.25">
      <c r="A128" s="37">
        <v>3</v>
      </c>
      <c r="B128" s="39" t="s">
        <v>38</v>
      </c>
      <c r="C128" s="39"/>
      <c r="D128" s="41" t="e">
        <f t="shared" si="6"/>
        <v>#N/A</v>
      </c>
      <c r="E128" s="40" t="e">
        <f>SUM(D128*2000)</f>
        <v>#N/A</v>
      </c>
    </row>
    <row r="129" spans="1:5" ht="17.100000000000001" customHeight="1" x14ac:dyDescent="0.25">
      <c r="A129" s="37">
        <v>4</v>
      </c>
      <c r="B129" s="42" t="s">
        <v>39</v>
      </c>
      <c r="C129" s="42"/>
      <c r="D129" s="40">
        <v>138.47</v>
      </c>
      <c r="E129" s="40">
        <f>SUM(D129*2)</f>
        <v>276.94</v>
      </c>
    </row>
    <row r="130" spans="1:5" ht="17.100000000000001" customHeight="1" x14ac:dyDescent="0.25">
      <c r="A130" s="37">
        <v>5</v>
      </c>
      <c r="B130" s="42" t="s">
        <v>40</v>
      </c>
      <c r="C130" s="42"/>
      <c r="D130" s="40">
        <v>12.5</v>
      </c>
      <c r="E130" s="40">
        <f>SUM(D130*5)</f>
        <v>62.5</v>
      </c>
    </row>
    <row r="131" spans="1:5" ht="17.100000000000001" customHeight="1" x14ac:dyDescent="0.25">
      <c r="A131" s="37">
        <v>6</v>
      </c>
      <c r="B131" s="43" t="s">
        <v>41</v>
      </c>
      <c r="C131" s="43"/>
      <c r="D131" s="40">
        <v>50</v>
      </c>
      <c r="E131" s="40">
        <f>SUM(D131*4)</f>
        <v>200</v>
      </c>
    </row>
    <row r="132" spans="1:5" ht="17.100000000000001" customHeight="1" x14ac:dyDescent="0.2">
      <c r="A132" s="222" t="s">
        <v>27</v>
      </c>
      <c r="B132" s="222"/>
      <c r="C132" s="44"/>
      <c r="D132" s="223" t="e">
        <f>ROUNDUP(E126+E127+E128+E129+E130+E131,0)</f>
        <v>#N/A</v>
      </c>
      <c r="E132" s="223"/>
    </row>
    <row r="133" spans="1:5" ht="17.100000000000001" customHeight="1" x14ac:dyDescent="0.2">
      <c r="A133" s="222" t="s">
        <v>29</v>
      </c>
      <c r="B133" s="222"/>
      <c r="C133" s="44"/>
      <c r="D133" s="223" t="e">
        <f>SUM(D132*12)</f>
        <v>#N/A</v>
      </c>
      <c r="E133" s="223"/>
    </row>
    <row r="134" spans="1:5" ht="7.5" customHeight="1" x14ac:dyDescent="0.2">
      <c r="A134" s="35"/>
      <c r="B134" s="36"/>
      <c r="C134" s="36"/>
      <c r="D134" s="36"/>
      <c r="E134" s="36"/>
    </row>
    <row r="135" spans="1:5" ht="17.100000000000001" customHeight="1" x14ac:dyDescent="0.2">
      <c r="A135" s="226" t="s">
        <v>44</v>
      </c>
      <c r="B135" s="226"/>
      <c r="C135" s="226"/>
      <c r="D135" s="226"/>
      <c r="E135" s="226"/>
    </row>
    <row r="136" spans="1:5" ht="17.100000000000001" customHeight="1" x14ac:dyDescent="0.2">
      <c r="A136" s="226" t="s">
        <v>45</v>
      </c>
      <c r="B136" s="226"/>
      <c r="C136" s="226"/>
      <c r="D136" s="226"/>
      <c r="E136" s="226"/>
    </row>
    <row r="137" spans="1:5" ht="59.65" customHeight="1" x14ac:dyDescent="0.2">
      <c r="A137" s="222" t="s">
        <v>46</v>
      </c>
      <c r="B137" s="222"/>
      <c r="C137" s="222"/>
      <c r="D137" s="222"/>
      <c r="E137" s="222"/>
    </row>
    <row r="138" spans="1:5" ht="31.5" customHeight="1" x14ac:dyDescent="0.2">
      <c r="A138" s="37" t="s">
        <v>17</v>
      </c>
      <c r="B138" s="37" t="s">
        <v>18</v>
      </c>
      <c r="C138" s="37"/>
      <c r="D138" s="38" t="s">
        <v>19</v>
      </c>
      <c r="E138" s="38" t="s">
        <v>20</v>
      </c>
    </row>
    <row r="139" spans="1:5" ht="31.5" customHeight="1" x14ac:dyDescent="0.25">
      <c r="A139" s="37">
        <v>1</v>
      </c>
      <c r="B139" s="39" t="s">
        <v>21</v>
      </c>
      <c r="C139" s="39"/>
      <c r="D139" s="40" t="e">
        <f t="shared" ref="D139:D143" si="7">NA()</f>
        <v>#N/A</v>
      </c>
      <c r="E139" s="40" t="e">
        <f t="shared" ref="E139:E140" si="8">SUM(D139*30)</f>
        <v>#N/A</v>
      </c>
    </row>
    <row r="140" spans="1:5" ht="31.5" customHeight="1" x14ac:dyDescent="0.25">
      <c r="A140" s="37">
        <v>2</v>
      </c>
      <c r="B140" s="39" t="s">
        <v>22</v>
      </c>
      <c r="C140" s="39"/>
      <c r="D140" s="40" t="e">
        <f t="shared" si="7"/>
        <v>#N/A</v>
      </c>
      <c r="E140" s="40" t="e">
        <f t="shared" si="8"/>
        <v>#N/A</v>
      </c>
    </row>
    <row r="141" spans="1:5" ht="17.45" customHeight="1" x14ac:dyDescent="0.25">
      <c r="A141" s="37">
        <v>3</v>
      </c>
      <c r="B141" s="39" t="s">
        <v>23</v>
      </c>
      <c r="C141" s="39"/>
      <c r="D141" s="41" t="e">
        <f t="shared" si="7"/>
        <v>#N/A</v>
      </c>
      <c r="E141" s="40" t="e">
        <f>SUM(D141*3000)</f>
        <v>#N/A</v>
      </c>
    </row>
    <row r="142" spans="1:5" ht="17.100000000000001" customHeight="1" x14ac:dyDescent="0.25">
      <c r="A142" s="37">
        <v>4</v>
      </c>
      <c r="B142" s="42" t="s">
        <v>24</v>
      </c>
      <c r="C142" s="42"/>
      <c r="D142" s="40" t="e">
        <f t="shared" si="7"/>
        <v>#N/A</v>
      </c>
      <c r="E142" s="40" t="e">
        <f>SUM(D142*4)</f>
        <v>#N/A</v>
      </c>
    </row>
    <row r="143" spans="1:5" ht="17.100000000000001" customHeight="1" x14ac:dyDescent="0.25">
      <c r="A143" s="37">
        <v>5</v>
      </c>
      <c r="B143" s="42" t="s">
        <v>25</v>
      </c>
      <c r="C143" s="42"/>
      <c r="D143" s="40" t="e">
        <f t="shared" si="7"/>
        <v>#N/A</v>
      </c>
      <c r="E143" s="40" t="e">
        <f>SUM(D143*20)</f>
        <v>#N/A</v>
      </c>
    </row>
    <row r="144" spans="1:5" ht="17.100000000000001" customHeight="1" x14ac:dyDescent="0.25">
      <c r="A144" s="37">
        <v>6</v>
      </c>
      <c r="B144" s="43" t="s">
        <v>26</v>
      </c>
      <c r="C144" s="43"/>
      <c r="D144" s="40">
        <v>500</v>
      </c>
      <c r="E144" s="40">
        <v>500</v>
      </c>
    </row>
    <row r="145" spans="1:5" ht="17.100000000000001" customHeight="1" x14ac:dyDescent="0.2">
      <c r="A145" s="222" t="s">
        <v>27</v>
      </c>
      <c r="B145" s="222"/>
      <c r="C145" s="44"/>
      <c r="D145" s="223" t="e">
        <f>ROUNDUP(E139+E140+E141+E142+E143+E144,0)</f>
        <v>#N/A</v>
      </c>
      <c r="E145" s="223"/>
    </row>
    <row r="146" spans="1:5" ht="17.100000000000001" customHeight="1" x14ac:dyDescent="0.2">
      <c r="A146" s="222" t="s">
        <v>28</v>
      </c>
      <c r="B146" s="222"/>
      <c r="C146" s="44"/>
      <c r="D146" s="223" t="e">
        <f>SUM(D145*2)</f>
        <v>#N/A</v>
      </c>
      <c r="E146" s="223"/>
    </row>
    <row r="147" spans="1:5" ht="17.100000000000001" customHeight="1" x14ac:dyDescent="0.2">
      <c r="A147" s="222" t="s">
        <v>29</v>
      </c>
      <c r="B147" s="222"/>
      <c r="C147" s="44"/>
      <c r="D147" s="223" t="e">
        <f>SUM(D145*12)</f>
        <v>#N/A</v>
      </c>
      <c r="E147" s="223"/>
    </row>
    <row r="148" spans="1:5" ht="17.100000000000001" customHeight="1" x14ac:dyDescent="0.2">
      <c r="A148" s="222" t="s">
        <v>47</v>
      </c>
      <c r="B148" s="222"/>
      <c r="C148" s="44"/>
      <c r="D148" s="223" t="e">
        <f>SUM(D147*2)</f>
        <v>#N/A</v>
      </c>
      <c r="E148" s="223"/>
    </row>
    <row r="149" spans="1:5" ht="7.5" customHeight="1" x14ac:dyDescent="0.2">
      <c r="A149" s="35"/>
      <c r="B149" s="36"/>
      <c r="C149" s="36"/>
      <c r="D149" s="36"/>
      <c r="E149" s="36"/>
    </row>
    <row r="150" spans="1:5" ht="17.100000000000001" customHeight="1" x14ac:dyDescent="0.2">
      <c r="A150" s="226" t="s">
        <v>48</v>
      </c>
      <c r="B150" s="226"/>
      <c r="C150" s="226"/>
      <c r="D150" s="226"/>
      <c r="E150" s="226"/>
    </row>
    <row r="151" spans="1:5" ht="59.65" customHeight="1" x14ac:dyDescent="0.2">
      <c r="A151" s="222" t="s">
        <v>49</v>
      </c>
      <c r="B151" s="222"/>
      <c r="C151" s="222"/>
      <c r="D151" s="222"/>
      <c r="E151" s="222"/>
    </row>
    <row r="152" spans="1:5" ht="31.5" customHeight="1" x14ac:dyDescent="0.2">
      <c r="A152" s="37" t="s">
        <v>17</v>
      </c>
      <c r="B152" s="37" t="s">
        <v>18</v>
      </c>
      <c r="C152" s="37"/>
      <c r="D152" s="38" t="s">
        <v>19</v>
      </c>
      <c r="E152" s="38" t="s">
        <v>20</v>
      </c>
    </row>
    <row r="153" spans="1:5" ht="17.45" customHeight="1" x14ac:dyDescent="0.25">
      <c r="A153" s="37">
        <v>1</v>
      </c>
      <c r="B153" s="39" t="s">
        <v>50</v>
      </c>
      <c r="C153" s="39"/>
      <c r="D153" s="40">
        <v>249.73333333333301</v>
      </c>
      <c r="E153" s="40">
        <f t="shared" ref="E153:E154" si="9">SUM(D153*5)</f>
        <v>1248.6666666666652</v>
      </c>
    </row>
    <row r="154" spans="1:5" ht="31.5" customHeight="1" x14ac:dyDescent="0.25">
      <c r="A154" s="37">
        <v>2</v>
      </c>
      <c r="B154" s="39" t="s">
        <v>51</v>
      </c>
      <c r="C154" s="39"/>
      <c r="D154" s="40" t="e">
        <f t="shared" ref="D154:D157" si="10">NA()</f>
        <v>#N/A</v>
      </c>
      <c r="E154" s="40" t="e">
        <f t="shared" si="9"/>
        <v>#N/A</v>
      </c>
    </row>
    <row r="155" spans="1:5" ht="31.5" customHeight="1" x14ac:dyDescent="0.25">
      <c r="A155" s="37">
        <v>3</v>
      </c>
      <c r="B155" s="39" t="s">
        <v>52</v>
      </c>
      <c r="C155" s="39"/>
      <c r="D155" s="41" t="e">
        <f t="shared" si="10"/>
        <v>#N/A</v>
      </c>
      <c r="E155" s="40" t="e">
        <f>SUM(D155*2500)</f>
        <v>#N/A</v>
      </c>
    </row>
    <row r="156" spans="1:5" ht="17.100000000000001" customHeight="1" x14ac:dyDescent="0.25">
      <c r="A156" s="37">
        <v>4</v>
      </c>
      <c r="B156" s="42" t="s">
        <v>39</v>
      </c>
      <c r="C156" s="42"/>
      <c r="D156" s="40" t="e">
        <f t="shared" si="10"/>
        <v>#N/A</v>
      </c>
      <c r="E156" s="40" t="e">
        <f>SUM(D156*2)</f>
        <v>#N/A</v>
      </c>
    </row>
    <row r="157" spans="1:5" ht="17.100000000000001" customHeight="1" x14ac:dyDescent="0.25">
      <c r="A157" s="37">
        <v>5</v>
      </c>
      <c r="B157" s="42" t="s">
        <v>40</v>
      </c>
      <c r="C157" s="42"/>
      <c r="D157" s="40" t="e">
        <f t="shared" si="10"/>
        <v>#N/A</v>
      </c>
      <c r="E157" s="40" t="e">
        <f t="shared" ref="E157:E158" si="11">SUM(D157*5)</f>
        <v>#N/A</v>
      </c>
    </row>
    <row r="158" spans="1:5" ht="17.100000000000001" customHeight="1" x14ac:dyDescent="0.25">
      <c r="A158" s="37">
        <v>6</v>
      </c>
      <c r="B158" s="43" t="s">
        <v>41</v>
      </c>
      <c r="C158" s="43"/>
      <c r="D158" s="40">
        <v>50</v>
      </c>
      <c r="E158" s="40">
        <f t="shared" si="11"/>
        <v>250</v>
      </c>
    </row>
    <row r="159" spans="1:5" ht="17.100000000000001" customHeight="1" x14ac:dyDescent="0.2">
      <c r="A159" s="222" t="s">
        <v>27</v>
      </c>
      <c r="B159" s="222"/>
      <c r="C159" s="44"/>
      <c r="D159" s="223" t="e">
        <f>ROUNDUP(E153+E154+E155+E156+E157+E158,0)</f>
        <v>#N/A</v>
      </c>
      <c r="E159" s="223"/>
    </row>
    <row r="160" spans="1:5" ht="17.100000000000001" customHeight="1" x14ac:dyDescent="0.2">
      <c r="A160" s="222" t="s">
        <v>29</v>
      </c>
      <c r="B160" s="222"/>
      <c r="C160" s="44"/>
      <c r="D160" s="223" t="e">
        <f>SUM(D159*12)</f>
        <v>#N/A</v>
      </c>
      <c r="E160" s="223"/>
    </row>
    <row r="161" spans="1:5" ht="7.5" customHeight="1" x14ac:dyDescent="0.2">
      <c r="A161" s="35"/>
      <c r="B161" s="36"/>
      <c r="C161" s="36"/>
      <c r="D161" s="36"/>
      <c r="E161" s="36"/>
    </row>
    <row r="162" spans="1:5" ht="17.100000000000001" customHeight="1" x14ac:dyDescent="0.2">
      <c r="A162" s="226" t="s">
        <v>53</v>
      </c>
      <c r="B162" s="226"/>
      <c r="C162" s="226"/>
      <c r="D162" s="226"/>
      <c r="E162" s="226"/>
    </row>
    <row r="163" spans="1:5" ht="17.100000000000001" customHeight="1" x14ac:dyDescent="0.2">
      <c r="A163" s="222" t="s">
        <v>27</v>
      </c>
      <c r="B163" s="222"/>
      <c r="C163" s="44"/>
      <c r="D163" s="223" t="e">
        <f>SUM(D146+D159)</f>
        <v>#N/A</v>
      </c>
      <c r="E163" s="223"/>
    </row>
    <row r="164" spans="1:5" ht="17.100000000000001" customHeight="1" x14ac:dyDescent="0.2">
      <c r="A164" s="222" t="s">
        <v>29</v>
      </c>
      <c r="B164" s="222"/>
      <c r="C164" s="44"/>
      <c r="D164" s="223" t="e">
        <f>SUM(D163*12)</f>
        <v>#N/A</v>
      </c>
      <c r="E164" s="223"/>
    </row>
    <row r="165" spans="1:5" ht="9.75" customHeight="1" x14ac:dyDescent="0.2">
      <c r="A165" s="35"/>
      <c r="B165" s="36"/>
      <c r="C165" s="36"/>
      <c r="D165" s="36"/>
      <c r="E165" s="36"/>
    </row>
    <row r="166" spans="1:5" ht="17.100000000000001" customHeight="1" x14ac:dyDescent="0.2">
      <c r="A166" s="226" t="s">
        <v>54</v>
      </c>
      <c r="B166" s="226"/>
      <c r="C166" s="226"/>
      <c r="D166" s="226"/>
      <c r="E166" s="226"/>
    </row>
    <row r="167" spans="1:5" ht="45.6" customHeight="1" x14ac:dyDescent="0.2">
      <c r="A167" s="222" t="s">
        <v>55</v>
      </c>
      <c r="B167" s="222"/>
      <c r="C167" s="222"/>
      <c r="D167" s="222"/>
      <c r="E167" s="222"/>
    </row>
    <row r="168" spans="1:5" ht="31.5" customHeight="1" x14ac:dyDescent="0.2">
      <c r="A168" s="37" t="s">
        <v>17</v>
      </c>
      <c r="B168" s="37" t="s">
        <v>18</v>
      </c>
      <c r="C168" s="37"/>
      <c r="D168" s="38" t="s">
        <v>19</v>
      </c>
      <c r="E168" s="38" t="s">
        <v>20</v>
      </c>
    </row>
    <row r="169" spans="1:5" ht="31.5" customHeight="1" x14ac:dyDescent="0.25">
      <c r="A169" s="37">
        <v>1</v>
      </c>
      <c r="B169" s="39" t="s">
        <v>21</v>
      </c>
      <c r="C169" s="39"/>
      <c r="D169" s="40" t="e">
        <f t="shared" ref="D169:D170" si="12">NA()</f>
        <v>#N/A</v>
      </c>
      <c r="E169" s="40" t="e">
        <f>SUM(D169*30)</f>
        <v>#N/A</v>
      </c>
    </row>
    <row r="170" spans="1:5" ht="17.45" customHeight="1" x14ac:dyDescent="0.25">
      <c r="A170" s="37">
        <v>2</v>
      </c>
      <c r="B170" s="39" t="s">
        <v>23</v>
      </c>
      <c r="C170" s="39"/>
      <c r="D170" s="41" t="e">
        <f t="shared" si="12"/>
        <v>#N/A</v>
      </c>
      <c r="E170" s="40" t="e">
        <f>SUM(D170*3000)</f>
        <v>#N/A</v>
      </c>
    </row>
    <row r="171" spans="1:5" ht="17.100000000000001" customHeight="1" x14ac:dyDescent="0.25">
      <c r="A171" s="37">
        <v>3</v>
      </c>
      <c r="B171" s="42" t="s">
        <v>26</v>
      </c>
      <c r="C171" s="42"/>
      <c r="D171" s="40">
        <v>500</v>
      </c>
      <c r="E171" s="40">
        <v>500</v>
      </c>
    </row>
    <row r="172" spans="1:5" ht="17.100000000000001" customHeight="1" x14ac:dyDescent="0.2">
      <c r="A172" s="222" t="s">
        <v>27</v>
      </c>
      <c r="B172" s="222"/>
      <c r="C172" s="44"/>
      <c r="D172" s="223" t="e">
        <f>ROUNDUP(E169+E170+E171,0)</f>
        <v>#N/A</v>
      </c>
      <c r="E172" s="223"/>
    </row>
    <row r="173" spans="1:5" ht="17.100000000000001" customHeight="1" x14ac:dyDescent="0.2">
      <c r="A173" s="222" t="s">
        <v>56</v>
      </c>
      <c r="B173" s="222"/>
      <c r="C173" s="44"/>
      <c r="D173" s="223" t="e">
        <f>SUM(D172*3)</f>
        <v>#N/A</v>
      </c>
      <c r="E173" s="223"/>
    </row>
    <row r="174" spans="1:5" ht="17.100000000000001" customHeight="1" x14ac:dyDescent="0.2">
      <c r="A174" s="222" t="s">
        <v>29</v>
      </c>
      <c r="B174" s="222"/>
      <c r="C174" s="44"/>
      <c r="D174" s="223" t="e">
        <f>SUM(D172*12)</f>
        <v>#N/A</v>
      </c>
      <c r="E174" s="223"/>
    </row>
    <row r="175" spans="1:5" ht="17.100000000000001" customHeight="1" x14ac:dyDescent="0.2">
      <c r="A175" s="222" t="s">
        <v>57</v>
      </c>
      <c r="B175" s="222"/>
      <c r="C175" s="44"/>
      <c r="D175" s="223" t="e">
        <f>SUM(D174*3)</f>
        <v>#N/A</v>
      </c>
      <c r="E175" s="223"/>
    </row>
    <row r="176" spans="1:5" ht="8.25" customHeight="1" x14ac:dyDescent="0.2">
      <c r="A176" s="35"/>
      <c r="B176" s="36"/>
      <c r="C176" s="36"/>
      <c r="D176" s="36"/>
      <c r="E176" s="36"/>
    </row>
    <row r="177" spans="1:5" ht="17.100000000000001" customHeight="1" x14ac:dyDescent="0.2">
      <c r="A177" s="226" t="s">
        <v>58</v>
      </c>
      <c r="B177" s="226"/>
      <c r="C177" s="226"/>
      <c r="D177" s="226"/>
      <c r="E177" s="226"/>
    </row>
    <row r="178" spans="1:5" ht="45.6" customHeight="1" x14ac:dyDescent="0.2">
      <c r="A178" s="222" t="s">
        <v>59</v>
      </c>
      <c r="B178" s="222"/>
      <c r="C178" s="222"/>
      <c r="D178" s="222"/>
      <c r="E178" s="222"/>
    </row>
    <row r="179" spans="1:5" ht="31.5" customHeight="1" x14ac:dyDescent="0.2">
      <c r="A179" s="37" t="s">
        <v>17</v>
      </c>
      <c r="B179" s="37" t="s">
        <v>18</v>
      </c>
      <c r="C179" s="37"/>
      <c r="D179" s="38" t="s">
        <v>19</v>
      </c>
      <c r="E179" s="38" t="s">
        <v>20</v>
      </c>
    </row>
    <row r="180" spans="1:5" ht="17.45" customHeight="1" x14ac:dyDescent="0.25">
      <c r="A180" s="37">
        <v>1</v>
      </c>
      <c r="B180" s="39" t="s">
        <v>50</v>
      </c>
      <c r="C180" s="39"/>
      <c r="D180" s="40">
        <v>529.97500000000002</v>
      </c>
      <c r="E180" s="40">
        <f t="shared" ref="E180:E181" si="13">SUM(D180*5)</f>
        <v>2649.875</v>
      </c>
    </row>
    <row r="181" spans="1:5" ht="31.5" customHeight="1" x14ac:dyDescent="0.25">
      <c r="A181" s="37">
        <v>2</v>
      </c>
      <c r="B181" s="39" t="s">
        <v>51</v>
      </c>
      <c r="C181" s="39"/>
      <c r="D181" s="40" t="e">
        <f t="shared" ref="D181:D184" si="14">NA()</f>
        <v>#N/A</v>
      </c>
      <c r="E181" s="40" t="e">
        <f t="shared" si="13"/>
        <v>#N/A</v>
      </c>
    </row>
    <row r="182" spans="1:5" ht="31.5" customHeight="1" x14ac:dyDescent="0.25">
      <c r="A182" s="37">
        <v>3</v>
      </c>
      <c r="B182" s="39" t="s">
        <v>52</v>
      </c>
      <c r="C182" s="39"/>
      <c r="D182" s="41" t="e">
        <f t="shared" si="14"/>
        <v>#N/A</v>
      </c>
      <c r="E182" s="40" t="e">
        <f>SUM(D182*2500)</f>
        <v>#N/A</v>
      </c>
    </row>
    <row r="183" spans="1:5" ht="17.100000000000001" customHeight="1" x14ac:dyDescent="0.25">
      <c r="A183" s="37">
        <v>4</v>
      </c>
      <c r="B183" s="42" t="s">
        <v>39</v>
      </c>
      <c r="C183" s="42"/>
      <c r="D183" s="40" t="e">
        <f t="shared" si="14"/>
        <v>#N/A</v>
      </c>
      <c r="E183" s="40" t="e">
        <f>SUM(D183*2)</f>
        <v>#N/A</v>
      </c>
    </row>
    <row r="184" spans="1:5" ht="17.100000000000001" customHeight="1" x14ac:dyDescent="0.25">
      <c r="A184" s="37">
        <v>5</v>
      </c>
      <c r="B184" s="42" t="s">
        <v>40</v>
      </c>
      <c r="C184" s="42"/>
      <c r="D184" s="40" t="e">
        <f t="shared" si="14"/>
        <v>#N/A</v>
      </c>
      <c r="E184" s="40" t="e">
        <f t="shared" ref="E184:E185" si="15">SUM(D184*5)</f>
        <v>#N/A</v>
      </c>
    </row>
    <row r="185" spans="1:5" ht="17.100000000000001" customHeight="1" x14ac:dyDescent="0.25">
      <c r="A185" s="37">
        <v>6</v>
      </c>
      <c r="B185" s="43" t="s">
        <v>41</v>
      </c>
      <c r="C185" s="43"/>
      <c r="D185" s="40">
        <v>50</v>
      </c>
      <c r="E185" s="40">
        <f t="shared" si="15"/>
        <v>250</v>
      </c>
    </row>
    <row r="186" spans="1:5" ht="17.100000000000001" customHeight="1" x14ac:dyDescent="0.2">
      <c r="A186" s="222" t="s">
        <v>27</v>
      </c>
      <c r="B186" s="222"/>
      <c r="C186" s="44"/>
      <c r="D186" s="223" t="e">
        <f>ROUNDUP(E180+E181+E182+E183+E184+E185,0)</f>
        <v>#N/A</v>
      </c>
      <c r="E186" s="223"/>
    </row>
    <row r="187" spans="1:5" ht="17.100000000000001" customHeight="1" x14ac:dyDescent="0.2">
      <c r="A187" s="222" t="s">
        <v>29</v>
      </c>
      <c r="B187" s="222"/>
      <c r="C187" s="44"/>
      <c r="D187" s="223" t="e">
        <f>SUM(D186*12)</f>
        <v>#N/A</v>
      </c>
      <c r="E187" s="223"/>
    </row>
    <row r="188" spans="1:5" ht="9" customHeight="1" x14ac:dyDescent="0.2">
      <c r="A188" s="35"/>
      <c r="B188" s="36"/>
      <c r="C188" s="36"/>
      <c r="D188" s="36"/>
      <c r="E188" s="36"/>
    </row>
    <row r="189" spans="1:5" ht="17.100000000000001" customHeight="1" x14ac:dyDescent="0.2">
      <c r="A189" s="226" t="s">
        <v>60</v>
      </c>
      <c r="B189" s="226"/>
      <c r="C189" s="226"/>
      <c r="D189" s="226"/>
      <c r="E189" s="226"/>
    </row>
    <row r="190" spans="1:5" ht="59.65" customHeight="1" x14ac:dyDescent="0.2">
      <c r="A190" s="222" t="s">
        <v>61</v>
      </c>
      <c r="B190" s="222"/>
      <c r="C190" s="222"/>
      <c r="D190" s="222"/>
      <c r="E190" s="222"/>
    </row>
    <row r="191" spans="1:5" ht="31.5" customHeight="1" x14ac:dyDescent="0.2">
      <c r="A191" s="37" t="s">
        <v>17</v>
      </c>
      <c r="B191" s="37" t="s">
        <v>18</v>
      </c>
      <c r="C191" s="37"/>
      <c r="D191" s="38" t="s">
        <v>19</v>
      </c>
      <c r="E191" s="38" t="s">
        <v>20</v>
      </c>
    </row>
    <row r="192" spans="1:5" ht="31.5" customHeight="1" x14ac:dyDescent="0.25">
      <c r="A192" s="37">
        <v>1</v>
      </c>
      <c r="B192" s="39" t="s">
        <v>21</v>
      </c>
      <c r="C192" s="39"/>
      <c r="D192" s="40" t="e">
        <f t="shared" ref="D192:D193" si="16">NA()</f>
        <v>#N/A</v>
      </c>
      <c r="E192" s="40" t="e">
        <f t="shared" ref="E192:E193" si="17">SUM(D192*30)</f>
        <v>#N/A</v>
      </c>
    </row>
    <row r="193" spans="1:5" ht="31.5" customHeight="1" x14ac:dyDescent="0.25">
      <c r="A193" s="37">
        <v>2</v>
      </c>
      <c r="B193" s="39" t="s">
        <v>22</v>
      </c>
      <c r="C193" s="39"/>
      <c r="D193" s="40" t="e">
        <f t="shared" si="16"/>
        <v>#N/A</v>
      </c>
      <c r="E193" s="40" t="e">
        <f t="shared" si="17"/>
        <v>#N/A</v>
      </c>
    </row>
    <row r="194" spans="1:5" ht="17.45" customHeight="1" x14ac:dyDescent="0.25">
      <c r="A194" s="37">
        <v>3</v>
      </c>
      <c r="B194" s="39" t="s">
        <v>23</v>
      </c>
      <c r="C194" s="39"/>
      <c r="D194" s="41" t="e">
        <v>#REF!</v>
      </c>
      <c r="E194" s="40" t="e">
        <f>SUM(D194*3000)</f>
        <v>#REF!</v>
      </c>
    </row>
    <row r="195" spans="1:5" ht="17.100000000000001" customHeight="1" x14ac:dyDescent="0.25">
      <c r="A195" s="37">
        <v>4</v>
      </c>
      <c r="B195" s="42" t="s">
        <v>24</v>
      </c>
      <c r="C195" s="42"/>
      <c r="D195" s="40" t="e">
        <f t="shared" ref="D195:D196" si="18">NA()</f>
        <v>#N/A</v>
      </c>
      <c r="E195" s="40" t="e">
        <f>SUM(D195*4)</f>
        <v>#N/A</v>
      </c>
    </row>
    <row r="196" spans="1:5" ht="17.100000000000001" customHeight="1" x14ac:dyDescent="0.25">
      <c r="A196" s="37">
        <v>5</v>
      </c>
      <c r="B196" s="42" t="s">
        <v>25</v>
      </c>
      <c r="C196" s="42"/>
      <c r="D196" s="40" t="e">
        <f t="shared" si="18"/>
        <v>#N/A</v>
      </c>
      <c r="E196" s="40" t="e">
        <f>SUM(D196*20)</f>
        <v>#N/A</v>
      </c>
    </row>
    <row r="197" spans="1:5" ht="17.100000000000001" customHeight="1" x14ac:dyDescent="0.25">
      <c r="A197" s="37">
        <v>6</v>
      </c>
      <c r="B197" s="43" t="s">
        <v>26</v>
      </c>
      <c r="C197" s="43"/>
      <c r="D197" s="40">
        <v>500</v>
      </c>
      <c r="E197" s="40">
        <v>500</v>
      </c>
    </row>
    <row r="198" spans="1:5" ht="17.100000000000001" customHeight="1" x14ac:dyDescent="0.2">
      <c r="A198" s="222" t="s">
        <v>62</v>
      </c>
      <c r="B198" s="222"/>
      <c r="C198" s="44"/>
      <c r="D198" s="223" t="e">
        <f>ROUNDUP(E192+E193+E194+E195+E196+E197,0)</f>
        <v>#N/A</v>
      </c>
      <c r="E198" s="223"/>
    </row>
    <row r="199" spans="1:5" ht="17.100000000000001" customHeight="1" x14ac:dyDescent="0.2">
      <c r="A199" s="222" t="s">
        <v>28</v>
      </c>
      <c r="B199" s="222"/>
      <c r="C199" s="44"/>
      <c r="D199" s="223" t="e">
        <f>SUM(D198*2)</f>
        <v>#N/A</v>
      </c>
      <c r="E199" s="223"/>
    </row>
    <row r="200" spans="1:5" ht="17.100000000000001" customHeight="1" x14ac:dyDescent="0.2">
      <c r="A200" s="222" t="s">
        <v>29</v>
      </c>
      <c r="B200" s="222"/>
      <c r="C200" s="44"/>
      <c r="D200" s="223" t="e">
        <f>SUM(D198*12)</f>
        <v>#N/A</v>
      </c>
      <c r="E200" s="223"/>
    </row>
    <row r="201" spans="1:5" ht="17.100000000000001" customHeight="1" x14ac:dyDescent="0.2">
      <c r="A201" s="222" t="s">
        <v>63</v>
      </c>
      <c r="B201" s="222"/>
      <c r="C201" s="44"/>
      <c r="D201" s="223" t="e">
        <f>SUM(D200*2)</f>
        <v>#N/A</v>
      </c>
      <c r="E201" s="223"/>
    </row>
    <row r="202" spans="1:5" ht="7.5" customHeight="1" x14ac:dyDescent="0.2">
      <c r="A202" s="35"/>
      <c r="B202" s="36"/>
      <c r="C202" s="36"/>
      <c r="D202" s="36"/>
      <c r="E202" s="36"/>
    </row>
    <row r="203" spans="1:5" ht="17.100000000000001" customHeight="1" x14ac:dyDescent="0.2">
      <c r="A203" s="226" t="s">
        <v>64</v>
      </c>
      <c r="B203" s="226"/>
      <c r="C203" s="226"/>
      <c r="D203" s="226"/>
      <c r="E203" s="226"/>
    </row>
    <row r="204" spans="1:5" ht="45.6" customHeight="1" x14ac:dyDescent="0.2">
      <c r="A204" s="222" t="s">
        <v>65</v>
      </c>
      <c r="B204" s="222"/>
      <c r="C204" s="222"/>
      <c r="D204" s="222"/>
      <c r="E204" s="222"/>
    </row>
    <row r="205" spans="1:5" ht="31.5" customHeight="1" x14ac:dyDescent="0.2">
      <c r="A205" s="37" t="s">
        <v>17</v>
      </c>
      <c r="B205" s="37" t="s">
        <v>18</v>
      </c>
      <c r="C205" s="37"/>
      <c r="D205" s="38" t="s">
        <v>19</v>
      </c>
      <c r="E205" s="38" t="s">
        <v>20</v>
      </c>
    </row>
    <row r="206" spans="1:5" ht="17.45" customHeight="1" x14ac:dyDescent="0.25">
      <c r="A206" s="37">
        <v>1</v>
      </c>
      <c r="B206" s="39" t="s">
        <v>66</v>
      </c>
      <c r="C206" s="39"/>
      <c r="D206" s="40">
        <v>529.97500000000002</v>
      </c>
      <c r="E206" s="40">
        <f t="shared" ref="E206:E207" si="19">SUM(D206*20)</f>
        <v>10599.5</v>
      </c>
    </row>
    <row r="207" spans="1:5" ht="31.5" customHeight="1" x14ac:dyDescent="0.25">
      <c r="A207" s="37">
        <v>2</v>
      </c>
      <c r="B207" s="39" t="s">
        <v>67</v>
      </c>
      <c r="C207" s="39"/>
      <c r="D207" s="40" t="e">
        <f>NA()</f>
        <v>#N/A</v>
      </c>
      <c r="E207" s="40" t="e">
        <f t="shared" si="19"/>
        <v>#N/A</v>
      </c>
    </row>
    <row r="208" spans="1:5" ht="31.5" customHeight="1" x14ac:dyDescent="0.25">
      <c r="A208" s="37">
        <v>3</v>
      </c>
      <c r="B208" s="39" t="s">
        <v>68</v>
      </c>
      <c r="C208" s="39"/>
      <c r="D208" s="41" t="e">
        <v>#REF!</v>
      </c>
      <c r="E208" s="40" t="e">
        <f>SUM(D208*10000)</f>
        <v>#REF!</v>
      </c>
    </row>
    <row r="209" spans="1:5" ht="17.100000000000001" customHeight="1" x14ac:dyDescent="0.25">
      <c r="A209" s="37">
        <v>4</v>
      </c>
      <c r="B209" s="42" t="s">
        <v>24</v>
      </c>
      <c r="C209" s="42"/>
      <c r="D209" s="40" t="e">
        <f t="shared" ref="D209:D210" si="20">NA()</f>
        <v>#N/A</v>
      </c>
      <c r="E209" s="40" t="e">
        <f>SUM(D209*4)</f>
        <v>#N/A</v>
      </c>
    </row>
    <row r="210" spans="1:5" ht="17.100000000000001" customHeight="1" x14ac:dyDescent="0.25">
      <c r="A210" s="37">
        <v>5</v>
      </c>
      <c r="B210" s="42" t="s">
        <v>25</v>
      </c>
      <c r="C210" s="42"/>
      <c r="D210" s="40" t="e">
        <f t="shared" si="20"/>
        <v>#N/A</v>
      </c>
      <c r="E210" s="40" t="e">
        <f>D210*20</f>
        <v>#N/A</v>
      </c>
    </row>
    <row r="211" spans="1:5" ht="17.100000000000001" customHeight="1" x14ac:dyDescent="0.25">
      <c r="A211" s="37">
        <v>6</v>
      </c>
      <c r="B211" s="43" t="s">
        <v>41</v>
      </c>
      <c r="C211" s="43"/>
      <c r="D211" s="40">
        <v>50</v>
      </c>
      <c r="E211" s="40">
        <v>500</v>
      </c>
    </row>
    <row r="212" spans="1:5" ht="17.100000000000001" customHeight="1" x14ac:dyDescent="0.2">
      <c r="A212" s="222" t="s">
        <v>27</v>
      </c>
      <c r="B212" s="222"/>
      <c r="C212" s="44"/>
      <c r="D212" s="223" t="e">
        <f>ROUNDUP(E206+E207+E208+E209+E210+E211,0)</f>
        <v>#N/A</v>
      </c>
      <c r="E212" s="223"/>
    </row>
    <row r="213" spans="1:5" ht="17.100000000000001" customHeight="1" x14ac:dyDescent="0.2">
      <c r="A213" s="222" t="s">
        <v>29</v>
      </c>
      <c r="B213" s="222"/>
      <c r="C213" s="44"/>
      <c r="D213" s="223" t="e">
        <f>SUM(D212*12)</f>
        <v>#N/A</v>
      </c>
      <c r="E213" s="223"/>
    </row>
    <row r="214" spans="1:5" ht="7.5" customHeight="1" x14ac:dyDescent="0.2"/>
    <row r="65411" ht="12.75" customHeight="1" x14ac:dyDescent="0.2"/>
    <row r="65412" ht="12.75" customHeight="1" x14ac:dyDescent="0.2"/>
    <row r="65413" ht="12.75" customHeight="1" x14ac:dyDescent="0.2"/>
    <row r="65414" ht="12.75" customHeight="1" x14ac:dyDescent="0.2"/>
    <row r="65415" ht="12.75" customHeight="1" x14ac:dyDescent="0.2"/>
    <row r="65416" ht="12.75" customHeight="1" x14ac:dyDescent="0.2"/>
    <row r="65417" ht="12.75" customHeight="1" x14ac:dyDescent="0.2"/>
    <row r="65418" ht="12.75" customHeight="1" x14ac:dyDescent="0.2"/>
    <row r="65419" ht="12.75" customHeight="1" x14ac:dyDescent="0.2"/>
    <row r="65420" ht="12.75" customHeight="1" x14ac:dyDescent="0.2"/>
    <row r="65421" ht="12.75" customHeight="1" x14ac:dyDescent="0.2"/>
    <row r="65422" ht="12.75" customHeight="1" x14ac:dyDescent="0.2"/>
    <row r="65423" ht="12.75" customHeight="1" x14ac:dyDescent="0.2"/>
    <row r="65424" ht="12.75" customHeight="1" x14ac:dyDescent="0.2"/>
    <row r="65425" ht="12.75" customHeight="1" x14ac:dyDescent="0.2"/>
    <row r="65426" ht="12.75" customHeight="1" x14ac:dyDescent="0.2"/>
    <row r="65427" ht="12.75" customHeight="1" x14ac:dyDescent="0.2"/>
    <row r="65428" ht="12.75" customHeight="1" x14ac:dyDescent="0.2"/>
    <row r="65429" ht="12.75" customHeight="1" x14ac:dyDescent="0.2"/>
    <row r="65430" ht="12.75" customHeight="1" x14ac:dyDescent="0.2"/>
    <row r="65431" ht="12.75" customHeight="1" x14ac:dyDescent="0.2"/>
    <row r="65432" ht="12.75" customHeight="1" x14ac:dyDescent="0.2"/>
    <row r="65433" ht="12.75" customHeight="1" x14ac:dyDescent="0.2"/>
    <row r="65434" ht="12.75" customHeight="1" x14ac:dyDescent="0.2"/>
    <row r="65435" ht="12.75" customHeight="1" x14ac:dyDescent="0.2"/>
    <row r="65436" ht="12.75" customHeight="1" x14ac:dyDescent="0.2"/>
    <row r="65437" ht="12.75" customHeight="1" x14ac:dyDescent="0.2"/>
    <row r="65438" ht="12.75" customHeight="1" x14ac:dyDescent="0.2"/>
    <row r="65439" ht="12.75" customHeight="1" x14ac:dyDescent="0.2"/>
    <row r="65440" ht="12.75" customHeight="1" x14ac:dyDescent="0.2"/>
    <row r="65441" ht="12.75" customHeight="1" x14ac:dyDescent="0.2"/>
    <row r="65442" ht="12.75" customHeight="1" x14ac:dyDescent="0.2"/>
    <row r="65443" ht="12.75" customHeight="1" x14ac:dyDescent="0.2"/>
    <row r="65444" ht="12.75" customHeight="1" x14ac:dyDescent="0.2"/>
    <row r="65445" ht="12.75" customHeight="1" x14ac:dyDescent="0.2"/>
    <row r="65446" ht="12.75" customHeight="1" x14ac:dyDescent="0.2"/>
    <row r="65447" ht="12.75" customHeight="1" x14ac:dyDescent="0.2"/>
    <row r="65448" ht="12.75" customHeight="1" x14ac:dyDescent="0.2"/>
    <row r="65449" ht="12.75" customHeight="1" x14ac:dyDescent="0.2"/>
    <row r="65450" ht="12.75" customHeight="1" x14ac:dyDescent="0.2"/>
    <row r="65451" ht="12.75" customHeight="1" x14ac:dyDescent="0.2"/>
    <row r="65452" ht="12.75" customHeight="1" x14ac:dyDescent="0.2"/>
    <row r="65453" ht="12.75" customHeight="1" x14ac:dyDescent="0.2"/>
    <row r="65454" ht="12.75" customHeight="1" x14ac:dyDescent="0.2"/>
    <row r="65455" ht="12.75" customHeight="1" x14ac:dyDescent="0.2"/>
    <row r="65456" ht="12.75" customHeight="1" x14ac:dyDescent="0.2"/>
    <row r="65457" ht="12.75" customHeight="1" x14ac:dyDescent="0.2"/>
    <row r="65458" ht="12.75" customHeight="1" x14ac:dyDescent="0.2"/>
    <row r="65459" ht="12.75" customHeight="1" x14ac:dyDescent="0.2"/>
    <row r="65460" ht="12.75" customHeight="1" x14ac:dyDescent="0.2"/>
    <row r="65461" ht="12.75" customHeight="1" x14ac:dyDescent="0.2"/>
    <row r="65462" ht="12.75" customHeight="1" x14ac:dyDescent="0.2"/>
    <row r="65463" ht="12.75" customHeight="1" x14ac:dyDescent="0.2"/>
    <row r="65464" ht="12.75" customHeight="1" x14ac:dyDescent="0.2"/>
    <row r="65465" ht="12.75" customHeight="1" x14ac:dyDescent="0.2"/>
    <row r="65466" ht="12.75" customHeight="1" x14ac:dyDescent="0.2"/>
    <row r="65467" ht="12.75" customHeight="1" x14ac:dyDescent="0.2"/>
    <row r="65468" ht="12.75" customHeight="1" x14ac:dyDescent="0.2"/>
    <row r="65469" ht="12.75" customHeight="1" x14ac:dyDescent="0.2"/>
    <row r="65470" ht="12.75" customHeight="1" x14ac:dyDescent="0.2"/>
    <row r="65471" ht="12.75" customHeight="1" x14ac:dyDescent="0.2"/>
    <row r="65472" ht="12.75" customHeight="1" x14ac:dyDescent="0.2"/>
    <row r="65473" ht="12.75" customHeight="1" x14ac:dyDescent="0.2"/>
    <row r="65474" ht="12.75" customHeight="1" x14ac:dyDescent="0.2"/>
    <row r="65475" ht="12.75" customHeight="1" x14ac:dyDescent="0.2"/>
    <row r="65476" ht="12.75" customHeight="1" x14ac:dyDescent="0.2"/>
    <row r="65477" ht="12.75" customHeight="1" x14ac:dyDescent="0.2"/>
    <row r="65478" ht="12.75" customHeight="1" x14ac:dyDescent="0.2"/>
    <row r="65479" ht="12.75" customHeight="1" x14ac:dyDescent="0.2"/>
    <row r="65480" ht="12.75" customHeight="1" x14ac:dyDescent="0.2"/>
    <row r="65481" ht="12.75" customHeight="1" x14ac:dyDescent="0.2"/>
    <row r="65482" ht="12.75" customHeight="1" x14ac:dyDescent="0.2"/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</sheetData>
  <sheetProtection selectLockedCells="1" selectUnlockedCells="1"/>
  <mergeCells count="101">
    <mergeCell ref="A190:E190"/>
    <mergeCell ref="A198:B198"/>
    <mergeCell ref="D198:E198"/>
    <mergeCell ref="A199:B199"/>
    <mergeCell ref="D199:E199"/>
    <mergeCell ref="A212:B212"/>
    <mergeCell ref="D212:E212"/>
    <mergeCell ref="A213:B213"/>
    <mergeCell ref="D213:E213"/>
    <mergeCell ref="A200:B200"/>
    <mergeCell ref="D200:E200"/>
    <mergeCell ref="A201:B201"/>
    <mergeCell ref="D201:E201"/>
    <mergeCell ref="A203:E203"/>
    <mergeCell ref="A204:E204"/>
    <mergeCell ref="A175:B175"/>
    <mergeCell ref="D175:E175"/>
    <mergeCell ref="A177:E177"/>
    <mergeCell ref="A178:E178"/>
    <mergeCell ref="A186:B186"/>
    <mergeCell ref="D186:E186"/>
    <mergeCell ref="A187:B187"/>
    <mergeCell ref="D187:E187"/>
    <mergeCell ref="A189:E189"/>
    <mergeCell ref="A164:B164"/>
    <mergeCell ref="D164:E164"/>
    <mergeCell ref="A166:E166"/>
    <mergeCell ref="A167:E167"/>
    <mergeCell ref="A172:B172"/>
    <mergeCell ref="D172:E172"/>
    <mergeCell ref="A173:B173"/>
    <mergeCell ref="D173:E173"/>
    <mergeCell ref="A174:B174"/>
    <mergeCell ref="D174:E174"/>
    <mergeCell ref="A163:B163"/>
    <mergeCell ref="D163:E163"/>
    <mergeCell ref="A147:B147"/>
    <mergeCell ref="D147:E147"/>
    <mergeCell ref="A148:B148"/>
    <mergeCell ref="D148:E148"/>
    <mergeCell ref="A150:E150"/>
    <mergeCell ref="A151:E151"/>
    <mergeCell ref="A159:B159"/>
    <mergeCell ref="D159:E159"/>
    <mergeCell ref="A160:B160"/>
    <mergeCell ref="D160:E160"/>
    <mergeCell ref="A162:E162"/>
    <mergeCell ref="A109:B109"/>
    <mergeCell ref="D109:E109"/>
    <mergeCell ref="A111:E111"/>
    <mergeCell ref="A112:E112"/>
    <mergeCell ref="A120:B120"/>
    <mergeCell ref="D120:E120"/>
    <mergeCell ref="A121:B121"/>
    <mergeCell ref="D121:E121"/>
    <mergeCell ref="A146:B146"/>
    <mergeCell ref="D146:E146"/>
    <mergeCell ref="A123:E123"/>
    <mergeCell ref="A124:E124"/>
    <mergeCell ref="A132:B132"/>
    <mergeCell ref="D132:E132"/>
    <mergeCell ref="A133:B133"/>
    <mergeCell ref="D133:E133"/>
    <mergeCell ref="A135:E135"/>
    <mergeCell ref="A136:E136"/>
    <mergeCell ref="A137:E137"/>
    <mergeCell ref="A145:B145"/>
    <mergeCell ref="D145:E145"/>
    <mergeCell ref="A98:B98"/>
    <mergeCell ref="D98:E98"/>
    <mergeCell ref="A100:E100"/>
    <mergeCell ref="A101:E101"/>
    <mergeCell ref="A106:B106"/>
    <mergeCell ref="D106:E106"/>
    <mergeCell ref="A107:B107"/>
    <mergeCell ref="D107:E107"/>
    <mergeCell ref="A108:B108"/>
    <mergeCell ref="D108:E108"/>
    <mergeCell ref="A5:E5"/>
    <mergeCell ref="A1:U1"/>
    <mergeCell ref="A4:U4"/>
    <mergeCell ref="A2:U2"/>
    <mergeCell ref="A3:U3"/>
    <mergeCell ref="A97:B97"/>
    <mergeCell ref="D97:E97"/>
    <mergeCell ref="F6:G6"/>
    <mergeCell ref="H6:I6"/>
    <mergeCell ref="A86:E86"/>
    <mergeCell ref="D6:E6"/>
    <mergeCell ref="A87:E87"/>
    <mergeCell ref="A95:B95"/>
    <mergeCell ref="D95:E95"/>
    <mergeCell ref="A96:B96"/>
    <mergeCell ref="D96:E96"/>
    <mergeCell ref="B20:D26"/>
    <mergeCell ref="R7:R8"/>
    <mergeCell ref="S7:S8"/>
    <mergeCell ref="P6:Q6"/>
    <mergeCell ref="J6:K6"/>
    <mergeCell ref="N6:O6"/>
    <mergeCell ref="L6:M6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128"/>
  <sheetViews>
    <sheetView topLeftCell="A109" zoomScale="136" zoomScaleNormal="136" zoomScaleSheetLayoutView="75" workbookViewId="0">
      <selection activeCell="C125" sqref="C125:C126"/>
    </sheetView>
  </sheetViews>
  <sheetFormatPr defaultColWidth="9.28515625" defaultRowHeight="12.75" customHeight="1" x14ac:dyDescent="0.2"/>
  <cols>
    <col min="1" max="1" width="68.5703125" style="45" customWidth="1"/>
    <col min="2" max="2" width="20.140625" style="45" customWidth="1"/>
    <col min="3" max="3" width="41.140625" style="45" bestFit="1" customWidth="1"/>
    <col min="4" max="24" width="9.28515625" style="45"/>
    <col min="25" max="222" width="9.28515625" style="46"/>
    <col min="223" max="16384" width="9.28515625" style="47"/>
  </cols>
  <sheetData>
    <row r="1" spans="1:3" ht="19.350000000000001" customHeight="1" thickBot="1" x14ac:dyDescent="0.25">
      <c r="A1" s="235" t="s">
        <v>240</v>
      </c>
      <c r="B1" s="235"/>
      <c r="C1" s="235"/>
    </row>
    <row r="2" spans="1:3" ht="14.65" customHeight="1" x14ac:dyDescent="0.2">
      <c r="A2" s="236" t="s">
        <v>1</v>
      </c>
      <c r="B2" s="236"/>
      <c r="C2" s="236"/>
    </row>
    <row r="3" spans="1:3" ht="14.65" customHeight="1" thickBot="1" x14ac:dyDescent="0.25">
      <c r="A3" s="237" t="s">
        <v>241</v>
      </c>
      <c r="B3" s="237"/>
      <c r="C3" s="237"/>
    </row>
    <row r="4" spans="1:3" ht="24.4" customHeight="1" thickBot="1" x14ac:dyDescent="0.25">
      <c r="A4" s="238" t="s">
        <v>69</v>
      </c>
      <c r="B4" s="238"/>
      <c r="C4" s="238"/>
    </row>
    <row r="5" spans="1:3" ht="14.65" customHeight="1" thickBot="1" x14ac:dyDescent="0.25">
      <c r="A5" s="48"/>
      <c r="B5" s="48"/>
      <c r="C5" s="48"/>
    </row>
    <row r="6" spans="1:3" ht="17.100000000000001" customHeight="1" thickBot="1" x14ac:dyDescent="0.25">
      <c r="A6" s="239" t="s">
        <v>239</v>
      </c>
      <c r="B6" s="239"/>
      <c r="C6" s="239"/>
    </row>
    <row r="7" spans="1:3" ht="15.75" customHeight="1" thickBot="1" x14ac:dyDescent="0.25">
      <c r="A7" s="49"/>
      <c r="B7" s="50" t="s">
        <v>242</v>
      </c>
      <c r="C7" s="210"/>
    </row>
    <row r="8" spans="1:3" ht="15.75" customHeight="1" thickBot="1" x14ac:dyDescent="0.25">
      <c r="A8" s="51"/>
      <c r="B8" s="52" t="s">
        <v>243</v>
      </c>
      <c r="C8" s="211"/>
    </row>
    <row r="9" spans="1:3" ht="15.75" customHeight="1" thickBot="1" x14ac:dyDescent="0.25">
      <c r="A9" s="51"/>
      <c r="B9" s="52" t="s">
        <v>70</v>
      </c>
      <c r="C9" s="210"/>
    </row>
    <row r="10" spans="1:3" ht="14.65" customHeight="1" thickBot="1" x14ac:dyDescent="0.25">
      <c r="A10" s="51"/>
      <c r="B10" s="52" t="s">
        <v>71</v>
      </c>
      <c r="C10" s="209"/>
    </row>
    <row r="11" spans="1:3" ht="14.65" customHeight="1" thickBot="1" x14ac:dyDescent="0.25">
      <c r="A11" s="51"/>
      <c r="B11" s="52" t="s">
        <v>244</v>
      </c>
      <c r="C11" s="209"/>
    </row>
    <row r="12" spans="1:3" ht="14.65" customHeight="1" thickBot="1" x14ac:dyDescent="0.25">
      <c r="A12" s="51"/>
      <c r="B12" s="52" t="s">
        <v>245</v>
      </c>
      <c r="C12" s="209"/>
    </row>
    <row r="13" spans="1:3" ht="14.65" customHeight="1" thickBot="1" x14ac:dyDescent="0.25">
      <c r="A13" s="53" t="s">
        <v>214</v>
      </c>
      <c r="B13" s="54" t="s">
        <v>72</v>
      </c>
      <c r="C13" s="209"/>
    </row>
    <row r="14" spans="1:3" ht="12.75" customHeight="1" thickBot="1" x14ac:dyDescent="0.25">
      <c r="A14" s="55"/>
      <c r="B14" s="56"/>
      <c r="C14" s="57"/>
    </row>
    <row r="15" spans="1:3" ht="45" customHeight="1" thickBot="1" x14ac:dyDescent="0.25">
      <c r="A15" s="58" t="s">
        <v>73</v>
      </c>
      <c r="B15" s="59" t="s">
        <v>74</v>
      </c>
      <c r="C15" s="59" t="s">
        <v>75</v>
      </c>
    </row>
    <row r="16" spans="1:3" ht="16.5" customHeight="1" thickBot="1" x14ac:dyDescent="0.25">
      <c r="A16" s="232" t="s">
        <v>76</v>
      </c>
      <c r="B16" s="233"/>
      <c r="C16" s="234"/>
    </row>
    <row r="17" spans="1:24" ht="15.75" customHeight="1" thickBot="1" x14ac:dyDescent="0.25">
      <c r="A17" s="60" t="s">
        <v>77</v>
      </c>
      <c r="B17" s="61" t="s">
        <v>78</v>
      </c>
      <c r="C17" s="62" t="s">
        <v>79</v>
      </c>
    </row>
    <row r="18" spans="1:24" ht="15.75" customHeight="1" x14ac:dyDescent="0.25">
      <c r="A18" s="63" t="s">
        <v>80</v>
      </c>
      <c r="B18" s="64"/>
      <c r="C18" s="65">
        <f>C9</f>
        <v>0</v>
      </c>
    </row>
    <row r="19" spans="1:24" ht="15.75" customHeight="1" x14ac:dyDescent="0.25">
      <c r="A19" s="63" t="s">
        <v>81</v>
      </c>
      <c r="B19" s="66"/>
      <c r="C19" s="67">
        <v>0</v>
      </c>
    </row>
    <row r="20" spans="1:24" ht="15.75" customHeight="1" x14ac:dyDescent="0.25">
      <c r="A20" s="63" t="s">
        <v>82</v>
      </c>
      <c r="B20" s="66"/>
      <c r="C20" s="65">
        <v>0</v>
      </c>
    </row>
    <row r="21" spans="1:24" ht="15.75" customHeight="1" x14ac:dyDescent="0.25">
      <c r="A21" s="68" t="s">
        <v>83</v>
      </c>
      <c r="B21" s="69"/>
      <c r="C21" s="70"/>
    </row>
    <row r="22" spans="1:24" ht="15.75" customHeight="1" x14ac:dyDescent="0.25">
      <c r="A22" s="63" t="s">
        <v>84</v>
      </c>
      <c r="B22" s="66"/>
      <c r="C22" s="65"/>
    </row>
    <row r="23" spans="1:24" ht="15.75" customHeight="1" x14ac:dyDescent="0.25">
      <c r="A23" s="68" t="s">
        <v>85</v>
      </c>
      <c r="B23" s="69"/>
      <c r="C23" s="70"/>
    </row>
    <row r="24" spans="1:24" ht="15.75" customHeight="1" thickBot="1" x14ac:dyDescent="0.3">
      <c r="A24" s="63" t="s">
        <v>86</v>
      </c>
      <c r="B24" s="71"/>
      <c r="C24" s="65"/>
    </row>
    <row r="25" spans="1:24" ht="15.75" customHeight="1" thickBot="1" x14ac:dyDescent="0.25">
      <c r="A25" s="72" t="s">
        <v>87</v>
      </c>
      <c r="B25" s="73"/>
      <c r="C25" s="74">
        <f>SUM(C18:C24)</f>
        <v>0</v>
      </c>
    </row>
    <row r="26" spans="1:24" ht="15.75" customHeight="1" thickBot="1" x14ac:dyDescent="0.25">
      <c r="A26" s="75"/>
      <c r="B26" s="76"/>
      <c r="C26" s="77"/>
    </row>
    <row r="27" spans="1:24" ht="16.149999999999999" customHeight="1" thickBot="1" x14ac:dyDescent="0.25">
      <c r="A27" s="241" t="s">
        <v>88</v>
      </c>
      <c r="B27" s="241"/>
      <c r="C27" s="241"/>
    </row>
    <row r="28" spans="1:24" s="55" customFormat="1" ht="15.75" customHeight="1" thickBot="1" x14ac:dyDescent="0.25">
      <c r="A28" s="78" t="s">
        <v>89</v>
      </c>
      <c r="B28" s="79" t="s">
        <v>90</v>
      </c>
      <c r="C28" s="79" t="s">
        <v>79</v>
      </c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</row>
    <row r="29" spans="1:24" s="55" customFormat="1" ht="15.75" customHeight="1" x14ac:dyDescent="0.2">
      <c r="A29" s="80" t="s">
        <v>91</v>
      </c>
      <c r="B29" s="81">
        <f>1/12</f>
        <v>8.3333333333333329E-2</v>
      </c>
      <c r="C29" s="82">
        <f>$B29*C18</f>
        <v>0</v>
      </c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</row>
    <row r="30" spans="1:24" s="55" customFormat="1" ht="15.75" customHeight="1" thickBot="1" x14ac:dyDescent="0.25">
      <c r="A30" s="63" t="s">
        <v>92</v>
      </c>
      <c r="B30" s="83">
        <f>1/3*1/12</f>
        <v>2.7777777777777776E-2</v>
      </c>
      <c r="C30" s="84">
        <f>C18*$B30</f>
        <v>0</v>
      </c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</row>
    <row r="31" spans="1:24" s="55" customFormat="1" ht="15.75" customHeight="1" thickBot="1" x14ac:dyDescent="0.25">
      <c r="A31" s="85" t="s">
        <v>93</v>
      </c>
      <c r="B31" s="86">
        <f>SUM(B29:B30)</f>
        <v>0.1111111111111111</v>
      </c>
      <c r="C31" s="74">
        <f>SUM(C29:C30)</f>
        <v>0</v>
      </c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</row>
    <row r="32" spans="1:24" ht="27.6" customHeight="1" thickBot="1" x14ac:dyDescent="0.25">
      <c r="A32" s="87" t="s">
        <v>94</v>
      </c>
      <c r="B32" s="88" t="s">
        <v>90</v>
      </c>
      <c r="C32" s="88" t="s">
        <v>79</v>
      </c>
    </row>
    <row r="33" spans="1:225" s="92" customFormat="1" ht="15.75" customHeight="1" x14ac:dyDescent="0.2">
      <c r="A33" s="63" t="s">
        <v>95</v>
      </c>
      <c r="B33" s="89">
        <v>0.2</v>
      </c>
      <c r="C33" s="90">
        <f t="shared" ref="C33:C40" si="0">($C$25+$C$31)*$B33</f>
        <v>0</v>
      </c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</row>
    <row r="34" spans="1:225" s="92" customFormat="1" ht="15.75" customHeight="1" x14ac:dyDescent="0.2">
      <c r="A34" s="63" t="s">
        <v>96</v>
      </c>
      <c r="B34" s="89">
        <v>2.5000000000000001E-2</v>
      </c>
      <c r="C34" s="90">
        <f t="shared" si="0"/>
        <v>0</v>
      </c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</row>
    <row r="35" spans="1:225" s="92" customFormat="1" ht="15.75" customHeight="1" x14ac:dyDescent="0.2">
      <c r="A35" s="63" t="s">
        <v>97</v>
      </c>
      <c r="B35" s="83">
        <v>0.03</v>
      </c>
      <c r="C35" s="90">
        <f t="shared" si="0"/>
        <v>0</v>
      </c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</row>
    <row r="36" spans="1:225" s="92" customFormat="1" ht="15.75" customHeight="1" x14ac:dyDescent="0.2">
      <c r="A36" s="63" t="s">
        <v>98</v>
      </c>
      <c r="B36" s="89">
        <v>1.4999999999999999E-2</v>
      </c>
      <c r="C36" s="90">
        <f t="shared" si="0"/>
        <v>0</v>
      </c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</row>
    <row r="37" spans="1:225" s="92" customFormat="1" ht="15.75" customHeight="1" x14ac:dyDescent="0.2">
      <c r="A37" s="63" t="s">
        <v>99</v>
      </c>
      <c r="B37" s="89">
        <v>0.01</v>
      </c>
      <c r="C37" s="90">
        <f t="shared" si="0"/>
        <v>0</v>
      </c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</row>
    <row r="38" spans="1:225" s="92" customFormat="1" ht="15.75" customHeight="1" x14ac:dyDescent="0.2">
      <c r="A38" s="63" t="s">
        <v>100</v>
      </c>
      <c r="B38" s="89">
        <v>6.0000000000000001E-3</v>
      </c>
      <c r="C38" s="90">
        <f t="shared" si="0"/>
        <v>0</v>
      </c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</row>
    <row r="39" spans="1:225" s="92" customFormat="1" ht="15.75" customHeight="1" x14ac:dyDescent="0.2">
      <c r="A39" s="63" t="s">
        <v>101</v>
      </c>
      <c r="B39" s="89">
        <v>2E-3</v>
      </c>
      <c r="C39" s="90">
        <f t="shared" si="0"/>
        <v>0</v>
      </c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</row>
    <row r="40" spans="1:225" s="92" customFormat="1" ht="15.75" customHeight="1" thickBot="1" x14ac:dyDescent="0.25">
      <c r="A40" s="63" t="s">
        <v>102</v>
      </c>
      <c r="B40" s="89">
        <v>0.08</v>
      </c>
      <c r="C40" s="90">
        <f t="shared" si="0"/>
        <v>0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</row>
    <row r="41" spans="1:225" ht="15.75" customHeight="1" thickBot="1" x14ac:dyDescent="0.25">
      <c r="A41" s="85" t="s">
        <v>93</v>
      </c>
      <c r="B41" s="86">
        <f>SUM(B33:B40)</f>
        <v>0.36800000000000005</v>
      </c>
      <c r="C41" s="93">
        <f>SUM(C33:C40)</f>
        <v>0</v>
      </c>
      <c r="HO41" s="46"/>
      <c r="HP41" s="46"/>
      <c r="HQ41" s="46"/>
    </row>
    <row r="42" spans="1:225" ht="15.75" customHeight="1" thickBot="1" x14ac:dyDescent="0.25">
      <c r="A42" s="94" t="s">
        <v>103</v>
      </c>
      <c r="B42" s="88" t="s">
        <v>247</v>
      </c>
      <c r="C42" s="95" t="s">
        <v>79</v>
      </c>
    </row>
    <row r="43" spans="1:225" ht="15.75" customHeight="1" x14ac:dyDescent="0.25">
      <c r="A43" s="63" t="s">
        <v>105</v>
      </c>
      <c r="B43" s="213"/>
      <c r="C43" s="96">
        <f>((2*22*$B$43)-0.06*C25)</f>
        <v>0</v>
      </c>
    </row>
    <row r="44" spans="1:225" ht="15.75" customHeight="1" x14ac:dyDescent="0.2">
      <c r="A44" s="63" t="s">
        <v>106</v>
      </c>
      <c r="B44" s="212"/>
      <c r="C44" s="84">
        <f>($B$44*0.9)*22</f>
        <v>0</v>
      </c>
    </row>
    <row r="45" spans="1:225" ht="15.75" customHeight="1" x14ac:dyDescent="0.2">
      <c r="A45" s="98" t="s">
        <v>107</v>
      </c>
      <c r="B45" s="97"/>
      <c r="C45" s="84"/>
    </row>
    <row r="46" spans="1:225" ht="15.75" customHeight="1" x14ac:dyDescent="0.2">
      <c r="A46" s="63" t="s">
        <v>108</v>
      </c>
      <c r="B46" s="97" t="s">
        <v>209</v>
      </c>
      <c r="C46" s="84" t="str">
        <f>$B46</f>
        <v>Valor a ser cotado</v>
      </c>
    </row>
    <row r="47" spans="1:225" ht="15.75" customHeight="1" x14ac:dyDescent="0.2">
      <c r="A47" s="63" t="s">
        <v>109</v>
      </c>
      <c r="B47" s="97"/>
      <c r="C47" s="84">
        <f>B47</f>
        <v>0</v>
      </c>
    </row>
    <row r="48" spans="1:225" ht="15.75" customHeight="1" x14ac:dyDescent="0.2">
      <c r="A48" s="63" t="s">
        <v>253</v>
      </c>
      <c r="B48" s="97"/>
      <c r="C48" s="84"/>
    </row>
    <row r="49" spans="1:24" ht="15.75" customHeight="1" x14ac:dyDescent="0.2">
      <c r="A49" s="63" t="s">
        <v>254</v>
      </c>
      <c r="B49" s="97"/>
      <c r="C49" s="84"/>
    </row>
    <row r="50" spans="1:24" ht="15.75" customHeight="1" thickBot="1" x14ac:dyDescent="0.25">
      <c r="A50" s="63" t="s">
        <v>252</v>
      </c>
      <c r="B50" s="97"/>
      <c r="C50" s="99"/>
    </row>
    <row r="51" spans="1:24" ht="15.75" customHeight="1" thickBot="1" x14ac:dyDescent="0.25">
      <c r="A51" s="85" t="s">
        <v>93</v>
      </c>
      <c r="B51" s="74"/>
      <c r="C51" s="93">
        <f>SUM(C43:C50)</f>
        <v>0</v>
      </c>
    </row>
    <row r="52" spans="1:24" ht="15.75" customHeight="1" thickBot="1" x14ac:dyDescent="0.25">
      <c r="A52" s="100" t="s">
        <v>110</v>
      </c>
      <c r="B52" s="62" t="s">
        <v>78</v>
      </c>
      <c r="C52" s="101" t="s">
        <v>79</v>
      </c>
    </row>
    <row r="53" spans="1:24" ht="15.75" customHeight="1" x14ac:dyDescent="0.2">
      <c r="A53" s="102" t="s">
        <v>111</v>
      </c>
      <c r="B53" s="103">
        <f>B31</f>
        <v>0.1111111111111111</v>
      </c>
      <c r="C53" s="82">
        <f>C31</f>
        <v>0</v>
      </c>
    </row>
    <row r="54" spans="1:24" ht="15.75" customHeight="1" x14ac:dyDescent="0.2">
      <c r="A54" s="104" t="s">
        <v>112</v>
      </c>
      <c r="B54" s="105">
        <f>B41</f>
        <v>0.36800000000000005</v>
      </c>
      <c r="C54" s="84">
        <f>C41</f>
        <v>0</v>
      </c>
    </row>
    <row r="55" spans="1:24" ht="15.75" customHeight="1" thickBot="1" x14ac:dyDescent="0.25">
      <c r="A55" s="104" t="s">
        <v>113</v>
      </c>
      <c r="B55" s="106"/>
      <c r="C55" s="84">
        <f>C51</f>
        <v>0</v>
      </c>
    </row>
    <row r="56" spans="1:24" ht="15.75" customHeight="1" thickBot="1" x14ac:dyDescent="0.25">
      <c r="A56" s="72" t="s">
        <v>87</v>
      </c>
      <c r="B56" s="107"/>
      <c r="C56" s="74">
        <f>SUM(C53:C55)</f>
        <v>0</v>
      </c>
    </row>
    <row r="57" spans="1:24" ht="15.75" customHeight="1" thickBot="1" x14ac:dyDescent="0.25">
      <c r="A57" s="108"/>
      <c r="B57" s="77"/>
      <c r="C57" s="77"/>
    </row>
    <row r="58" spans="1:24" ht="16.5" customHeight="1" thickBot="1" x14ac:dyDescent="0.25">
      <c r="A58" s="241" t="s">
        <v>114</v>
      </c>
      <c r="B58" s="241"/>
      <c r="C58" s="241"/>
    </row>
    <row r="59" spans="1:24" ht="15.75" customHeight="1" thickBot="1" x14ac:dyDescent="0.25">
      <c r="A59" s="60" t="s">
        <v>115</v>
      </c>
      <c r="B59" s="62" t="s">
        <v>90</v>
      </c>
      <c r="C59" s="109" t="s">
        <v>79</v>
      </c>
    </row>
    <row r="60" spans="1:24" s="92" customFormat="1" ht="15.75" customHeight="1" x14ac:dyDescent="0.2">
      <c r="A60" s="63" t="s">
        <v>116</v>
      </c>
      <c r="B60" s="110">
        <f>1/12*0.05</f>
        <v>4.1666666666666666E-3</v>
      </c>
      <c r="C60" s="111">
        <f t="shared" ref="C60:C61" si="1">$B60*$C$25</f>
        <v>0</v>
      </c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</row>
    <row r="61" spans="1:24" s="92" customFormat="1" ht="15.75" customHeight="1" x14ac:dyDescent="0.2">
      <c r="A61" s="68" t="s">
        <v>117</v>
      </c>
      <c r="B61" s="112">
        <f>B40*B60</f>
        <v>3.3333333333333332E-4</v>
      </c>
      <c r="C61" s="111">
        <f t="shared" si="1"/>
        <v>0</v>
      </c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</row>
    <row r="62" spans="1:24" s="92" customFormat="1" ht="15.75" customHeight="1" x14ac:dyDescent="0.2">
      <c r="A62" s="63" t="s">
        <v>118</v>
      </c>
      <c r="B62" s="110">
        <v>0</v>
      </c>
      <c r="C62" s="111">
        <f>B62*$C$25</f>
        <v>0</v>
      </c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</row>
    <row r="63" spans="1:24" s="92" customFormat="1" ht="15.75" customHeight="1" x14ac:dyDescent="0.2">
      <c r="A63" s="63" t="s">
        <v>119</v>
      </c>
      <c r="B63" s="110">
        <f>1/30*7/12</f>
        <v>1.9444444444444445E-2</v>
      </c>
      <c r="C63" s="111">
        <f t="shared" ref="C63:C65" si="2">$B63*$C$25</f>
        <v>0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</row>
    <row r="64" spans="1:24" s="92" customFormat="1" ht="15.75" customHeight="1" x14ac:dyDescent="0.2">
      <c r="A64" s="63" t="s">
        <v>120</v>
      </c>
      <c r="B64" s="112">
        <f>B63*B41</f>
        <v>7.1555555555555565E-3</v>
      </c>
      <c r="C64" s="111">
        <f t="shared" si="2"/>
        <v>0</v>
      </c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</row>
    <row r="65" spans="1:225" s="92" customFormat="1" ht="15.75" customHeight="1" thickBot="1" x14ac:dyDescent="0.25">
      <c r="A65" s="63" t="s">
        <v>121</v>
      </c>
      <c r="B65" s="113">
        <f>B40*0.4*0.9*(1+1/12+1/12+1/3*1/12)</f>
        <v>3.4399999999999993E-2</v>
      </c>
      <c r="C65" s="111">
        <f t="shared" si="2"/>
        <v>0</v>
      </c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</row>
    <row r="66" spans="1:225" ht="15.75" customHeight="1" thickBot="1" x14ac:dyDescent="0.25">
      <c r="A66" s="85" t="s">
        <v>87</v>
      </c>
      <c r="B66" s="114">
        <f>SUM(B60:B65)</f>
        <v>6.5500000000000003E-2</v>
      </c>
      <c r="C66" s="74">
        <f>SUM(C60:C65)</f>
        <v>0</v>
      </c>
      <c r="HO66" s="46"/>
      <c r="HP66" s="46"/>
      <c r="HQ66" s="46"/>
    </row>
    <row r="67" spans="1:225" ht="15.75" customHeight="1" thickBot="1" x14ac:dyDescent="0.25">
      <c r="A67" s="108"/>
      <c r="B67" s="77"/>
      <c r="C67" s="77"/>
    </row>
    <row r="68" spans="1:225" ht="16.149999999999999" customHeight="1" thickBot="1" x14ac:dyDescent="0.25">
      <c r="A68" s="241" t="s">
        <v>122</v>
      </c>
      <c r="B68" s="241"/>
      <c r="C68" s="241"/>
    </row>
    <row r="69" spans="1:225" ht="15.75" customHeight="1" thickBot="1" x14ac:dyDescent="0.25">
      <c r="A69" s="115" t="s">
        <v>123</v>
      </c>
      <c r="B69" s="79" t="s">
        <v>90</v>
      </c>
      <c r="C69" s="116" t="s">
        <v>79</v>
      </c>
    </row>
    <row r="70" spans="1:225" s="92" customFormat="1" ht="15.95" customHeight="1" x14ac:dyDescent="0.2">
      <c r="A70" s="63" t="s">
        <v>124</v>
      </c>
      <c r="B70" s="83">
        <f>1/12</f>
        <v>8.3333333333333329E-2</v>
      </c>
      <c r="C70" s="90">
        <f>(C$25+C$56+C$66)*$B70</f>
        <v>0</v>
      </c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</row>
    <row r="71" spans="1:225" s="92" customFormat="1" ht="15.75" customHeight="1" x14ac:dyDescent="0.2">
      <c r="A71" s="63" t="s">
        <v>125</v>
      </c>
      <c r="B71" s="83">
        <f>4.8616/30/12</f>
        <v>1.3504444444444444E-2</v>
      </c>
      <c r="C71" s="90">
        <f>(C$25+C$56+C$66)*$B71</f>
        <v>0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</row>
    <row r="72" spans="1:225" s="92" customFormat="1" ht="15.75" customHeight="1" x14ac:dyDescent="0.2">
      <c r="A72" s="63" t="s">
        <v>126</v>
      </c>
      <c r="B72" s="83">
        <f>5/30/12*0.015*0.8988</f>
        <v>1.8725E-4</v>
      </c>
      <c r="C72" s="90">
        <f>(C$25+C$56+C$66)*$B72</f>
        <v>0</v>
      </c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</row>
    <row r="73" spans="1:225" s="92" customFormat="1" ht="15.75" customHeight="1" x14ac:dyDescent="0.2">
      <c r="A73" s="63" t="s">
        <v>127</v>
      </c>
      <c r="B73" s="83">
        <f>0.9659/30/12</f>
        <v>2.6830555555555553E-3</v>
      </c>
      <c r="C73" s="90">
        <f>(C$25+C$56+C$66)*$B73</f>
        <v>0</v>
      </c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</row>
    <row r="74" spans="1:225" s="92" customFormat="1" ht="15.75" customHeight="1" thickBot="1" x14ac:dyDescent="0.25">
      <c r="A74" s="63" t="s">
        <v>86</v>
      </c>
      <c r="B74" s="83">
        <v>0</v>
      </c>
      <c r="C74" s="90">
        <f>$C$25*B74</f>
        <v>0</v>
      </c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</row>
    <row r="75" spans="1:225" ht="15.75" customHeight="1" thickBot="1" x14ac:dyDescent="0.25">
      <c r="A75" s="85" t="s">
        <v>93</v>
      </c>
      <c r="B75" s="86">
        <f>SUM(B70:B74)</f>
        <v>9.9708083333333322E-2</v>
      </c>
      <c r="C75" s="93">
        <f>SUM(C70:C74)</f>
        <v>0</v>
      </c>
      <c r="HO75" s="46"/>
      <c r="HP75" s="46"/>
      <c r="HQ75" s="46"/>
    </row>
    <row r="76" spans="1:225" ht="15.75" customHeight="1" thickBot="1" x14ac:dyDescent="0.25">
      <c r="A76" s="115" t="s">
        <v>128</v>
      </c>
      <c r="B76" s="117"/>
      <c r="C76" s="116" t="s">
        <v>79</v>
      </c>
    </row>
    <row r="77" spans="1:225" s="92" customFormat="1" ht="15.75" customHeight="1" thickBot="1" x14ac:dyDescent="0.25">
      <c r="A77" s="68" t="s">
        <v>129</v>
      </c>
      <c r="B77" s="118">
        <v>0</v>
      </c>
      <c r="C77" s="119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</row>
    <row r="78" spans="1:225" ht="15.75" customHeight="1" thickBot="1" x14ac:dyDescent="0.25">
      <c r="A78" s="85" t="s">
        <v>93</v>
      </c>
      <c r="B78" s="86">
        <v>0</v>
      </c>
      <c r="C78" s="93"/>
      <c r="HO78" s="46"/>
      <c r="HP78" s="46"/>
      <c r="HQ78" s="46"/>
    </row>
    <row r="79" spans="1:225" ht="15.75" customHeight="1" thickBot="1" x14ac:dyDescent="0.25">
      <c r="A79" s="115" t="s">
        <v>130</v>
      </c>
      <c r="B79" s="117"/>
      <c r="C79" s="116" t="s">
        <v>79</v>
      </c>
      <c r="HO79" s="46"/>
      <c r="HP79" s="46"/>
      <c r="HQ79" s="46"/>
    </row>
    <row r="80" spans="1:225" ht="15.75" customHeight="1" thickBot="1" x14ac:dyDescent="0.25">
      <c r="A80" s="63" t="s">
        <v>131</v>
      </c>
      <c r="B80" s="83">
        <f>(120/30)*0.1012*0.0032</f>
        <v>1.29536E-3</v>
      </c>
      <c r="C80" s="90">
        <f>(C$25+C$56+C$66)*$B80</f>
        <v>0</v>
      </c>
      <c r="HO80" s="46"/>
      <c r="HP80" s="46"/>
      <c r="HQ80" s="46"/>
    </row>
    <row r="81" spans="1:225" ht="15.75" customHeight="1" thickBot="1" x14ac:dyDescent="0.25">
      <c r="A81" s="85" t="s">
        <v>87</v>
      </c>
      <c r="B81" s="86">
        <f>B80</f>
        <v>1.29536E-3</v>
      </c>
      <c r="C81" s="93">
        <f>C80</f>
        <v>0</v>
      </c>
      <c r="HO81" s="46"/>
      <c r="HP81" s="46"/>
      <c r="HQ81" s="46"/>
    </row>
    <row r="82" spans="1:225" ht="15.75" customHeight="1" thickBot="1" x14ac:dyDescent="0.25">
      <c r="A82" s="115" t="s">
        <v>132</v>
      </c>
      <c r="B82" s="117"/>
      <c r="C82" s="116" t="s">
        <v>79</v>
      </c>
      <c r="HO82" s="46"/>
      <c r="HP82" s="46"/>
      <c r="HQ82" s="46"/>
    </row>
    <row r="83" spans="1:225" ht="15.75" customHeight="1" thickBot="1" x14ac:dyDescent="0.25">
      <c r="A83" s="63" t="s">
        <v>133</v>
      </c>
      <c r="B83" s="83">
        <v>0</v>
      </c>
      <c r="C83" s="90"/>
      <c r="HO83" s="46"/>
      <c r="HP83" s="46"/>
      <c r="HQ83" s="46"/>
    </row>
    <row r="84" spans="1:225" ht="15.75" customHeight="1" thickBot="1" x14ac:dyDescent="0.25">
      <c r="A84" s="85" t="s">
        <v>87</v>
      </c>
      <c r="B84" s="86">
        <f>B83</f>
        <v>0</v>
      </c>
      <c r="C84" s="93">
        <f>C83</f>
        <v>0</v>
      </c>
      <c r="HO84" s="46"/>
      <c r="HP84" s="46"/>
      <c r="HQ84" s="46"/>
    </row>
    <row r="85" spans="1:225" ht="15.75" customHeight="1" thickBot="1" x14ac:dyDescent="0.25">
      <c r="A85" s="120" t="s">
        <v>134</v>
      </c>
      <c r="B85" s="62" t="s">
        <v>78</v>
      </c>
      <c r="C85" s="121" t="s">
        <v>79</v>
      </c>
    </row>
    <row r="86" spans="1:225" s="92" customFormat="1" ht="15.75" customHeight="1" x14ac:dyDescent="0.2">
      <c r="A86" s="122" t="s">
        <v>135</v>
      </c>
      <c r="B86" s="123">
        <f>B75</f>
        <v>9.9708083333333322E-2</v>
      </c>
      <c r="C86" s="82">
        <f>C75</f>
        <v>0</v>
      </c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</row>
    <row r="87" spans="1:225" s="92" customFormat="1" ht="15.75" customHeight="1" x14ac:dyDescent="0.2">
      <c r="A87" s="124" t="s">
        <v>136</v>
      </c>
      <c r="B87" s="123">
        <f>B78</f>
        <v>0</v>
      </c>
      <c r="C87" s="84">
        <f>C78</f>
        <v>0</v>
      </c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</row>
    <row r="88" spans="1:225" s="92" customFormat="1" ht="15.75" customHeight="1" x14ac:dyDescent="0.2">
      <c r="A88" s="124" t="s">
        <v>137</v>
      </c>
      <c r="B88" s="123">
        <f>B81</f>
        <v>1.29536E-3</v>
      </c>
      <c r="C88" s="84">
        <f>C81</f>
        <v>0</v>
      </c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</row>
    <row r="89" spans="1:225" s="92" customFormat="1" ht="15.75" customHeight="1" thickBot="1" x14ac:dyDescent="0.25">
      <c r="A89" s="124" t="s">
        <v>138</v>
      </c>
      <c r="B89" s="123">
        <f>B84</f>
        <v>0</v>
      </c>
      <c r="C89" s="84">
        <f>C84</f>
        <v>0</v>
      </c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</row>
    <row r="90" spans="1:225" ht="15.75" customHeight="1" thickBot="1" x14ac:dyDescent="0.25">
      <c r="A90" s="72" t="s">
        <v>87</v>
      </c>
      <c r="B90" s="114"/>
      <c r="C90" s="74">
        <f>SUM(C86:C89)</f>
        <v>0</v>
      </c>
      <c r="HO90" s="46"/>
      <c r="HP90" s="46"/>
      <c r="HQ90" s="46"/>
    </row>
    <row r="91" spans="1:225" ht="15.75" customHeight="1" thickBot="1" x14ac:dyDescent="0.25">
      <c r="A91" s="108"/>
      <c r="B91" s="125"/>
      <c r="C91" s="77"/>
      <c r="HO91" s="46"/>
      <c r="HP91" s="46"/>
      <c r="HQ91" s="46"/>
    </row>
    <row r="92" spans="1:225" ht="16.5" customHeight="1" thickBot="1" x14ac:dyDescent="0.25">
      <c r="A92" s="241" t="s">
        <v>139</v>
      </c>
      <c r="B92" s="241"/>
      <c r="C92" s="241"/>
    </row>
    <row r="93" spans="1:225" ht="15.75" customHeight="1" thickBot="1" x14ac:dyDescent="0.25">
      <c r="A93" s="126" t="s">
        <v>140</v>
      </c>
      <c r="B93" s="62" t="s">
        <v>104</v>
      </c>
      <c r="C93" s="121" t="s">
        <v>79</v>
      </c>
    </row>
    <row r="94" spans="1:225" ht="15.75" customHeight="1" thickBot="1" x14ac:dyDescent="0.3">
      <c r="A94" s="122" t="s">
        <v>223</v>
      </c>
      <c r="B94" s="215" t="s">
        <v>249</v>
      </c>
      <c r="C94" s="96" t="e">
        <f>$B94*2</f>
        <v>#VALUE!</v>
      </c>
    </row>
    <row r="95" spans="1:225" ht="15.75" customHeight="1" thickBot="1" x14ac:dyDescent="0.3">
      <c r="A95" s="124" t="s">
        <v>141</v>
      </c>
      <c r="B95" s="215" t="s">
        <v>249</v>
      </c>
      <c r="C95" s="127" t="str">
        <f t="shared" ref="C95:C98" si="3">$B95</f>
        <v>Valores a serem cotados</v>
      </c>
    </row>
    <row r="96" spans="1:225" ht="15.75" customHeight="1" thickBot="1" x14ac:dyDescent="0.3">
      <c r="A96" s="124" t="s">
        <v>142</v>
      </c>
      <c r="B96" s="215" t="s">
        <v>249</v>
      </c>
      <c r="C96" s="127" t="str">
        <f t="shared" si="3"/>
        <v>Valores a serem cotados</v>
      </c>
    </row>
    <row r="97" spans="1:225" ht="15.75" customHeight="1" thickBot="1" x14ac:dyDescent="0.3">
      <c r="A97" s="124" t="s">
        <v>250</v>
      </c>
      <c r="B97" s="215" t="s">
        <v>249</v>
      </c>
      <c r="C97" s="127" t="str">
        <f t="shared" si="3"/>
        <v>Valores a serem cotados</v>
      </c>
    </row>
    <row r="98" spans="1:225" ht="15.75" customHeight="1" thickBot="1" x14ac:dyDescent="0.3">
      <c r="A98" s="128" t="s">
        <v>251</v>
      </c>
      <c r="B98" s="215" t="s">
        <v>249</v>
      </c>
      <c r="C98" s="127" t="str">
        <f t="shared" si="3"/>
        <v>Valores a serem cotados</v>
      </c>
    </row>
    <row r="99" spans="1:225" ht="15.75" customHeight="1" thickBot="1" x14ac:dyDescent="0.25">
      <c r="A99" s="129" t="s">
        <v>87</v>
      </c>
      <c r="B99" s="130"/>
      <c r="C99" s="74" t="e">
        <f>SUM(C94:C98)</f>
        <v>#VALUE!</v>
      </c>
    </row>
    <row r="100" spans="1:225" ht="15.75" customHeight="1" thickBot="1" x14ac:dyDescent="0.25">
      <c r="A100" s="108"/>
      <c r="B100" s="125"/>
      <c r="C100" s="77"/>
      <c r="HO100" s="46"/>
      <c r="HP100" s="46"/>
      <c r="HQ100" s="46"/>
    </row>
    <row r="101" spans="1:225" ht="16.5" customHeight="1" thickBot="1" x14ac:dyDescent="0.25">
      <c r="A101" s="241" t="s">
        <v>143</v>
      </c>
      <c r="B101" s="241"/>
      <c r="C101" s="241"/>
    </row>
    <row r="102" spans="1:225" ht="15.75" customHeight="1" thickBot="1" x14ac:dyDescent="0.25">
      <c r="A102" s="60" t="s">
        <v>144</v>
      </c>
      <c r="B102" s="62" t="s">
        <v>90</v>
      </c>
      <c r="C102" s="121" t="s">
        <v>79</v>
      </c>
    </row>
    <row r="103" spans="1:225" ht="15.75" customHeight="1" thickTop="1" x14ac:dyDescent="0.2">
      <c r="A103" s="63" t="s">
        <v>145</v>
      </c>
      <c r="B103" s="110">
        <v>0.03</v>
      </c>
      <c r="C103" s="131" t="e">
        <f>(C$25+C$56+C$66+C$90+C$99)*$B103</f>
        <v>#VALUE!</v>
      </c>
    </row>
    <row r="104" spans="1:225" ht="15.75" customHeight="1" x14ac:dyDescent="0.2">
      <c r="A104" s="63" t="s">
        <v>146</v>
      </c>
      <c r="B104" s="110">
        <v>0.06</v>
      </c>
      <c r="C104" s="132" t="e">
        <f>(C$25+C$56+C$66+C$90+C$99+C$103)*$B104</f>
        <v>#VALUE!</v>
      </c>
    </row>
    <row r="105" spans="1:225" ht="15.75" customHeight="1" x14ac:dyDescent="0.2">
      <c r="A105" s="133" t="s">
        <v>149</v>
      </c>
      <c r="B105" s="134">
        <f>B106+B107</f>
        <v>0.14250000000000002</v>
      </c>
      <c r="C105" s="135" t="e">
        <f>((C$25+C$56+C$66+C$90+C$99+C$103+C$104)*(1/(1-($B105))-1))</f>
        <v>#VALUE!</v>
      </c>
    </row>
    <row r="106" spans="1:225" ht="15.75" customHeight="1" x14ac:dyDescent="0.2">
      <c r="A106" s="136" t="s">
        <v>147</v>
      </c>
      <c r="B106" s="110">
        <f>1.65%+7.6%</f>
        <v>9.2499999999999999E-2</v>
      </c>
      <c r="C106" s="132" t="e">
        <f>((C$25+C$56+C$66+C$90+C$99+C$103+C$104)/(1-($B$105)))*$B106</f>
        <v>#VALUE!</v>
      </c>
    </row>
    <row r="107" spans="1:225" ht="15.75" customHeight="1" thickBot="1" x14ac:dyDescent="0.25">
      <c r="A107" s="136" t="s">
        <v>148</v>
      </c>
      <c r="B107" s="112">
        <v>0.05</v>
      </c>
      <c r="C107" s="132" t="e">
        <f>((C$25+C$56+C$66+C$90+C$99+C$103+C$104)/(1-($B$105)))*$B107</f>
        <v>#VALUE!</v>
      </c>
    </row>
    <row r="108" spans="1:225" ht="15.75" customHeight="1" thickBot="1" x14ac:dyDescent="0.25">
      <c r="A108" s="242" t="s">
        <v>222</v>
      </c>
      <c r="B108" s="246">
        <v>0.05</v>
      </c>
      <c r="C108" s="248" t="e">
        <f>SUM(C103,C104,C105)</f>
        <v>#VALUE!</v>
      </c>
    </row>
    <row r="109" spans="1:225" ht="15.75" customHeight="1" thickBot="1" x14ac:dyDescent="0.25">
      <c r="A109" s="242"/>
      <c r="B109" s="247"/>
      <c r="C109" s="249"/>
    </row>
    <row r="110" spans="1:225" ht="15.75" customHeight="1" x14ac:dyDescent="0.2">
      <c r="A110" s="108"/>
      <c r="B110" s="125"/>
      <c r="C110" s="77"/>
      <c r="HO110" s="46"/>
      <c r="HP110" s="46"/>
      <c r="HQ110" s="46"/>
    </row>
    <row r="111" spans="1:225" ht="15.75" customHeight="1" thickBot="1" x14ac:dyDescent="0.25">
      <c r="A111" s="75"/>
      <c r="B111" s="189"/>
      <c r="C111" s="189"/>
    </row>
    <row r="112" spans="1:225" ht="26.45" customHeight="1" thickBot="1" x14ac:dyDescent="0.25">
      <c r="A112" s="243" t="s">
        <v>150</v>
      </c>
      <c r="B112" s="243"/>
      <c r="C112" s="137" t="s">
        <v>151</v>
      </c>
    </row>
    <row r="113" spans="1:4" ht="15" customHeight="1" thickBot="1" x14ac:dyDescent="0.25">
      <c r="A113" s="244" t="s">
        <v>152</v>
      </c>
      <c r="B113" s="244"/>
      <c r="C113" s="138" t="s">
        <v>79</v>
      </c>
    </row>
    <row r="114" spans="1:4" ht="15" customHeight="1" x14ac:dyDescent="0.2">
      <c r="A114" s="245" t="s">
        <v>153</v>
      </c>
      <c r="B114" s="245"/>
      <c r="C114" s="139">
        <f>C25</f>
        <v>0</v>
      </c>
    </row>
    <row r="115" spans="1:4" ht="15" customHeight="1" x14ac:dyDescent="0.2">
      <c r="A115" s="240" t="s">
        <v>154</v>
      </c>
      <c r="B115" s="240"/>
      <c r="C115" s="140">
        <f>C56</f>
        <v>0</v>
      </c>
    </row>
    <row r="116" spans="1:4" ht="15" customHeight="1" x14ac:dyDescent="0.2">
      <c r="A116" s="240" t="s">
        <v>155</v>
      </c>
      <c r="B116" s="240"/>
      <c r="C116" s="140">
        <f>C66</f>
        <v>0</v>
      </c>
    </row>
    <row r="117" spans="1:4" ht="15" customHeight="1" x14ac:dyDescent="0.2">
      <c r="A117" s="240" t="s">
        <v>156</v>
      </c>
      <c r="B117" s="240"/>
      <c r="C117" s="140">
        <f>C90</f>
        <v>0</v>
      </c>
    </row>
    <row r="118" spans="1:4" ht="15.75" customHeight="1" x14ac:dyDescent="0.2">
      <c r="A118" s="240" t="s">
        <v>157</v>
      </c>
      <c r="B118" s="240"/>
      <c r="C118" s="140" t="e">
        <f>C99</f>
        <v>#VALUE!</v>
      </c>
    </row>
    <row r="119" spans="1:4" ht="15.75" customHeight="1" x14ac:dyDescent="0.2">
      <c r="A119" s="253" t="s">
        <v>158</v>
      </c>
      <c r="B119" s="253"/>
      <c r="C119" s="141" t="e">
        <f>SUM(C114:C118)</f>
        <v>#VALUE!</v>
      </c>
    </row>
    <row r="120" spans="1:4" ht="15.75" customHeight="1" thickBot="1" x14ac:dyDescent="0.25">
      <c r="A120" s="254" t="s">
        <v>159</v>
      </c>
      <c r="B120" s="254"/>
      <c r="C120" s="142" t="e">
        <f>C108</f>
        <v>#VALUE!</v>
      </c>
    </row>
    <row r="121" spans="1:4" ht="15.75" customHeight="1" x14ac:dyDescent="0.2">
      <c r="A121" s="251" t="s">
        <v>160</v>
      </c>
      <c r="B121" s="257" t="s">
        <v>161</v>
      </c>
      <c r="C121" s="255">
        <v>6118.29</v>
      </c>
    </row>
    <row r="122" spans="1:4" ht="15.75" customHeight="1" x14ac:dyDescent="0.2">
      <c r="A122" s="252"/>
      <c r="B122" s="252"/>
      <c r="C122" s="256"/>
    </row>
    <row r="123" spans="1:4" ht="15.75" customHeight="1" x14ac:dyDescent="0.2">
      <c r="A123" s="251" t="s">
        <v>219</v>
      </c>
      <c r="B123" s="251" t="s">
        <v>161</v>
      </c>
      <c r="C123" s="258">
        <f>C$121/220*8.8</f>
        <v>244.73160000000001</v>
      </c>
    </row>
    <row r="124" spans="1:4" ht="15.75" customHeight="1" x14ac:dyDescent="0.2">
      <c r="A124" s="252"/>
      <c r="B124" s="252"/>
      <c r="C124" s="256"/>
    </row>
    <row r="125" spans="1:4" ht="15.75" customHeight="1" x14ac:dyDescent="0.2">
      <c r="A125" s="251" t="s">
        <v>246</v>
      </c>
      <c r="B125" s="251" t="s">
        <v>161</v>
      </c>
      <c r="C125" s="258">
        <f>C121/220</f>
        <v>27.81040909090909</v>
      </c>
      <c r="D125" s="143"/>
    </row>
    <row r="126" spans="1:4" ht="14.65" customHeight="1" x14ac:dyDescent="0.2">
      <c r="A126" s="252"/>
      <c r="B126" s="252"/>
      <c r="C126" s="256"/>
    </row>
    <row r="128" spans="1:4" ht="79.5" customHeight="1" x14ac:dyDescent="0.2">
      <c r="A128" s="250" t="s">
        <v>162</v>
      </c>
      <c r="B128" s="250"/>
      <c r="C128" s="250"/>
    </row>
  </sheetData>
  <sheetProtection selectLockedCells="1" selectUnlockedCells="1"/>
  <mergeCells count="33">
    <mergeCell ref="A128:C128"/>
    <mergeCell ref="A125:A126"/>
    <mergeCell ref="A121:A122"/>
    <mergeCell ref="A118:B118"/>
    <mergeCell ref="A119:B119"/>
    <mergeCell ref="A120:B120"/>
    <mergeCell ref="C121:C122"/>
    <mergeCell ref="B121:B122"/>
    <mergeCell ref="B125:B126"/>
    <mergeCell ref="C125:C126"/>
    <mergeCell ref="A123:A124"/>
    <mergeCell ref="B123:B124"/>
    <mergeCell ref="C123:C124"/>
    <mergeCell ref="A117:B117"/>
    <mergeCell ref="A27:C27"/>
    <mergeCell ref="A58:C58"/>
    <mergeCell ref="A68:C68"/>
    <mergeCell ref="A92:C92"/>
    <mergeCell ref="A101:C101"/>
    <mergeCell ref="A108:A109"/>
    <mergeCell ref="A112:B112"/>
    <mergeCell ref="A113:B113"/>
    <mergeCell ref="A114:B114"/>
    <mergeCell ref="A115:B115"/>
    <mergeCell ref="A116:B116"/>
    <mergeCell ref="B108:B109"/>
    <mergeCell ref="C108:C109"/>
    <mergeCell ref="A16:C16"/>
    <mergeCell ref="A1:C1"/>
    <mergeCell ref="A2:C2"/>
    <mergeCell ref="A3:C3"/>
    <mergeCell ref="A4:C4"/>
    <mergeCell ref="A6:C6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08"/>
  <sheetViews>
    <sheetView topLeftCell="A13" zoomScale="85" zoomScaleNormal="85" zoomScaleSheetLayoutView="75" workbookViewId="0">
      <selection activeCell="L6" sqref="L6"/>
    </sheetView>
  </sheetViews>
  <sheetFormatPr defaultColWidth="11.5703125" defaultRowHeight="14.65" customHeight="1" x14ac:dyDescent="0.2"/>
  <cols>
    <col min="1" max="1" width="11.5703125" style="144"/>
    <col min="2" max="2" width="33.28515625" customWidth="1"/>
    <col min="4" max="5" width="15.28515625" customWidth="1"/>
  </cols>
  <sheetData>
    <row r="1" spans="1:11" ht="24.6" customHeight="1" x14ac:dyDescent="0.2">
      <c r="A1" s="283" t="s">
        <v>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4.65" customHeight="1" x14ac:dyDescent="0.2">
      <c r="A2" s="221" t="s">
        <v>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</row>
    <row r="3" spans="1:11" ht="14.65" customHeight="1" x14ac:dyDescent="0.2">
      <c r="A3" s="221" t="s">
        <v>235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4" spans="1:11" ht="24.6" customHeight="1" x14ac:dyDescent="0.2">
      <c r="A4" s="219" t="s">
        <v>164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</row>
    <row r="5" spans="1:11" ht="14.65" customHeight="1" x14ac:dyDescent="0.2">
      <c r="A5" s="3"/>
      <c r="B5" s="3"/>
      <c r="C5" s="3"/>
      <c r="D5" s="3"/>
      <c r="E5" s="3"/>
      <c r="F5" s="3"/>
      <c r="G5" s="3"/>
      <c r="H5" s="3"/>
    </row>
    <row r="6" spans="1:11" ht="20.45" customHeight="1" thickBot="1" x14ac:dyDescent="0.25">
      <c r="A6" s="260" t="s">
        <v>165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</row>
    <row r="7" spans="1:11" ht="34.5" customHeight="1" x14ac:dyDescent="0.2">
      <c r="A7" s="10" t="s">
        <v>4</v>
      </c>
      <c r="B7" s="10" t="s">
        <v>5</v>
      </c>
      <c r="C7" s="10" t="s">
        <v>166</v>
      </c>
      <c r="D7" s="285" t="s">
        <v>3</v>
      </c>
      <c r="E7" s="285"/>
      <c r="F7" s="285"/>
      <c r="G7" s="145"/>
      <c r="H7" s="10" t="s">
        <v>167</v>
      </c>
      <c r="I7" s="10" t="s">
        <v>217</v>
      </c>
      <c r="J7" s="10" t="s">
        <v>218</v>
      </c>
      <c r="K7" s="10" t="s">
        <v>236</v>
      </c>
    </row>
    <row r="8" spans="1:11" ht="15.95" customHeight="1" x14ac:dyDescent="0.2">
      <c r="A8" s="17">
        <v>1</v>
      </c>
      <c r="B8" s="18" t="s">
        <v>224</v>
      </c>
      <c r="C8" s="146">
        <v>176</v>
      </c>
      <c r="D8" s="259">
        <v>27.5</v>
      </c>
      <c r="E8" s="259"/>
      <c r="F8" s="259"/>
      <c r="G8" s="259"/>
      <c r="H8" s="147">
        <v>0.5</v>
      </c>
      <c r="I8" s="188">
        <v>1</v>
      </c>
      <c r="J8" s="188">
        <f>1.2*0.5</f>
        <v>0.6</v>
      </c>
      <c r="K8" s="188">
        <f>1.2*1</f>
        <v>1.2</v>
      </c>
    </row>
    <row r="9" spans="1:11" ht="14.65" customHeight="1" x14ac:dyDescent="0.2">
      <c r="A9" s="27"/>
      <c r="B9" s="28" t="s">
        <v>13</v>
      </c>
      <c r="C9" s="148">
        <f>AVERAGE(C8:C8)</f>
        <v>176</v>
      </c>
      <c r="D9" s="286">
        <v>0</v>
      </c>
      <c r="E9" s="286"/>
      <c r="F9" s="286"/>
      <c r="G9" s="148">
        <f>AVERAGE(D8:D8)</f>
        <v>27.5</v>
      </c>
      <c r="H9" s="148"/>
      <c r="I9" s="148"/>
      <c r="J9" s="148"/>
      <c r="K9" s="148"/>
    </row>
    <row r="10" spans="1:11" ht="15.95" customHeight="1" x14ac:dyDescent="0.2">
      <c r="A10"/>
    </row>
    <row r="11" spans="1:11" ht="14.65" customHeight="1" thickBot="1" x14ac:dyDescent="0.25"/>
    <row r="12" spans="1:11" ht="24.4" customHeight="1" thickBot="1" x14ac:dyDescent="0.25">
      <c r="A12" s="271" t="s">
        <v>168</v>
      </c>
      <c r="B12" s="272"/>
      <c r="C12" s="272"/>
      <c r="D12" s="272"/>
      <c r="E12" s="273"/>
    </row>
    <row r="13" spans="1:11" ht="14.65" customHeight="1" x14ac:dyDescent="0.2">
      <c r="A13"/>
      <c r="B13" s="3"/>
      <c r="C13" s="3"/>
      <c r="D13" s="3"/>
      <c r="E13" s="3"/>
      <c r="F13" s="3"/>
      <c r="G13" s="3"/>
    </row>
    <row r="14" spans="1:11" ht="14.65" customHeight="1" thickBot="1" x14ac:dyDescent="0.25">
      <c r="A14" s="268" t="s">
        <v>169</v>
      </c>
      <c r="B14" s="269"/>
      <c r="C14" s="269"/>
      <c r="D14" s="269"/>
      <c r="E14" s="270"/>
    </row>
    <row r="15" spans="1:11" ht="14.65" customHeight="1" x14ac:dyDescent="0.2">
      <c r="A15" s="264"/>
      <c r="B15" s="265"/>
      <c r="C15" s="265"/>
      <c r="D15" s="149" t="s">
        <v>2</v>
      </c>
      <c r="E15" s="194" t="s">
        <v>3</v>
      </c>
    </row>
    <row r="16" spans="1:11" ht="14.65" customHeight="1" x14ac:dyDescent="0.2">
      <c r="A16" s="264"/>
      <c r="B16" s="265"/>
      <c r="C16" s="265"/>
      <c r="D16" s="149" t="s">
        <v>163</v>
      </c>
      <c r="E16" s="194" t="s">
        <v>163</v>
      </c>
    </row>
    <row r="17" spans="1:5" ht="14.65" customHeight="1" x14ac:dyDescent="0.2">
      <c r="A17" s="266" t="s">
        <v>170</v>
      </c>
      <c r="B17" s="267"/>
      <c r="C17" s="267"/>
      <c r="D17" s="150" t="s">
        <v>171</v>
      </c>
      <c r="E17" s="195" t="s">
        <v>171</v>
      </c>
    </row>
    <row r="18" spans="1:5" ht="14.65" customHeight="1" x14ac:dyDescent="0.2">
      <c r="A18" s="262" t="s">
        <v>172</v>
      </c>
      <c r="B18" s="263"/>
      <c r="C18" s="263"/>
      <c r="D18" s="151">
        <f>C9</f>
        <v>176</v>
      </c>
      <c r="E18" s="196">
        <f>G9</f>
        <v>27.5</v>
      </c>
    </row>
    <row r="19" spans="1:5" ht="14.65" customHeight="1" x14ac:dyDescent="0.2">
      <c r="A19" s="276" t="s">
        <v>173</v>
      </c>
      <c r="B19" s="277"/>
      <c r="C19" s="277"/>
      <c r="D19" s="197">
        <f t="shared" ref="D19:E19" si="0">D18</f>
        <v>176</v>
      </c>
      <c r="E19" s="198">
        <f t="shared" si="0"/>
        <v>27.5</v>
      </c>
    </row>
    <row r="20" spans="1:5" ht="14.65" customHeight="1" thickBot="1" x14ac:dyDescent="0.25">
      <c r="A20"/>
      <c r="B20" s="191"/>
      <c r="C20" s="192"/>
      <c r="D20" s="193"/>
      <c r="E20" s="193"/>
    </row>
    <row r="21" spans="1:5" ht="14.65" customHeight="1" thickBot="1" x14ac:dyDescent="0.25">
      <c r="A21" s="190" t="s">
        <v>174</v>
      </c>
      <c r="B21" s="190"/>
      <c r="C21" s="190"/>
      <c r="D21" s="190"/>
      <c r="E21" s="190"/>
    </row>
    <row r="22" spans="1:5" ht="14.65" customHeight="1" x14ac:dyDescent="0.2">
      <c r="A22" s="278" t="s">
        <v>175</v>
      </c>
      <c r="B22" s="278"/>
      <c r="C22" s="199" t="s">
        <v>90</v>
      </c>
      <c r="D22" s="200" t="s">
        <v>171</v>
      </c>
      <c r="E22" s="200" t="s">
        <v>171</v>
      </c>
    </row>
    <row r="23" spans="1:5" ht="14.65" customHeight="1" x14ac:dyDescent="0.2">
      <c r="A23" s="279" t="s">
        <v>145</v>
      </c>
      <c r="B23" s="280"/>
      <c r="C23" s="201">
        <v>0.05</v>
      </c>
      <c r="D23" s="202">
        <f>ROUND($C$23*D19,2)</f>
        <v>8.8000000000000007</v>
      </c>
      <c r="E23" s="202">
        <f>ROUND($C$23*E19,2)</f>
        <v>1.38</v>
      </c>
    </row>
    <row r="24" spans="1:5" ht="14.65" customHeight="1" x14ac:dyDescent="0.2">
      <c r="A24" s="281" t="s">
        <v>176</v>
      </c>
      <c r="B24" s="282"/>
      <c r="C24" s="201">
        <v>0.1</v>
      </c>
      <c r="D24" s="202">
        <f>ROUND($C$24*(D19+D23),2)</f>
        <v>18.48</v>
      </c>
      <c r="E24" s="202">
        <f>ROUND($C$24*(E19+E23),2)</f>
        <v>2.89</v>
      </c>
    </row>
    <row r="25" spans="1:5" ht="14.65" customHeight="1" x14ac:dyDescent="0.2">
      <c r="A25" s="274" t="s">
        <v>177</v>
      </c>
      <c r="B25" s="275"/>
      <c r="C25" s="203">
        <f>C26+C27</f>
        <v>5.6500000000000009E-2</v>
      </c>
      <c r="D25" s="204">
        <f>((D$19+D$23+D$24)/(1-($C25)))*$C25</f>
        <v>12.173100158982514</v>
      </c>
      <c r="E25" s="204">
        <f>((E$19+E$23+E$24)/(1-($C25)))*$C25</f>
        <v>1.9024960254372019</v>
      </c>
    </row>
    <row r="26" spans="1:5" ht="14.65" customHeight="1" x14ac:dyDescent="0.2">
      <c r="A26" s="281" t="s">
        <v>178</v>
      </c>
      <c r="B26" s="282"/>
      <c r="C26" s="201">
        <v>3.6500000000000005E-2</v>
      </c>
      <c r="D26" s="202">
        <f>ROUND(((D$19+D$23+D$24)/(1-$C25))*$C26,2)</f>
        <v>7.86</v>
      </c>
      <c r="E26" s="202">
        <f>ROUND(((E$19+E$23+E$24)/(1-$C25))*$C26,2)</f>
        <v>1.23</v>
      </c>
    </row>
    <row r="27" spans="1:5" ht="14.65" customHeight="1" x14ac:dyDescent="0.2">
      <c r="A27" s="281" t="s">
        <v>179</v>
      </c>
      <c r="B27" s="282"/>
      <c r="C27" s="205">
        <v>0.02</v>
      </c>
      <c r="D27" s="202">
        <f>ROUND(((D$19+D$23+D$24)/(1-$C$25))*$C27,2)</f>
        <v>4.3099999999999996</v>
      </c>
      <c r="E27" s="202">
        <f>ROUND(((E$19+E$23+E$24)/(1-$C$25))*$C27,2)</f>
        <v>0.67</v>
      </c>
    </row>
    <row r="28" spans="1:5" ht="14.65" customHeight="1" x14ac:dyDescent="0.2">
      <c r="A28" s="274" t="s">
        <v>180</v>
      </c>
      <c r="B28" s="275"/>
      <c r="C28" s="203">
        <f>C29+C30</f>
        <v>6.6500000000000004E-2</v>
      </c>
      <c r="D28" s="204">
        <f>((D$19+D$23+D$24)/(1-($C28)))*$C28</f>
        <v>14.481114086770221</v>
      </c>
      <c r="E28" s="204">
        <f>((E$19+E$23+E$24)/(1-($C28)))*$C28</f>
        <v>2.2632083556507769</v>
      </c>
    </row>
    <row r="29" spans="1:5" ht="14.65" customHeight="1" x14ac:dyDescent="0.2">
      <c r="A29" s="281" t="s">
        <v>178</v>
      </c>
      <c r="B29" s="282"/>
      <c r="C29" s="201">
        <v>3.6500000000000005E-2</v>
      </c>
      <c r="D29" s="202">
        <f>ROUND(((D$19+D$23+D$24)/(1-$C28))*$C29,2)</f>
        <v>7.95</v>
      </c>
      <c r="E29" s="202">
        <f>ROUND(((E$19+E$23+E$24)/(1-$C28))*$C29,2)</f>
        <v>1.24</v>
      </c>
    </row>
    <row r="30" spans="1:5" ht="14.65" customHeight="1" x14ac:dyDescent="0.2">
      <c r="A30" s="281" t="s">
        <v>179</v>
      </c>
      <c r="B30" s="282"/>
      <c r="C30" s="205">
        <v>0.03</v>
      </c>
      <c r="D30" s="202">
        <f>ROUND(((D$19+D$23+D$24)/(1-$C$28))*$C30,2)</f>
        <v>6.53</v>
      </c>
      <c r="E30" s="202">
        <f>ROUND(((E$19+E$23+E$24)/(1-$C$28))*$C30,2)</f>
        <v>1.02</v>
      </c>
    </row>
    <row r="31" spans="1:5" ht="14.65" customHeight="1" x14ac:dyDescent="0.2">
      <c r="A31" s="274" t="s">
        <v>181</v>
      </c>
      <c r="B31" s="275"/>
      <c r="C31" s="203">
        <f>C32+C33</f>
        <v>7.1500000000000008E-2</v>
      </c>
      <c r="D31" s="204">
        <f>((D$19+D$23+D$24)/(1-($C31)))*$C31</f>
        <v>15.653764135702747</v>
      </c>
      <c r="E31" s="204">
        <f>((E$19+E$23+E$24)/(1-($C31)))*$C31</f>
        <v>2.4464781906300486</v>
      </c>
    </row>
    <row r="32" spans="1:5" ht="14.65" customHeight="1" x14ac:dyDescent="0.2">
      <c r="A32" s="281" t="s">
        <v>178</v>
      </c>
      <c r="B32" s="282"/>
      <c r="C32" s="201">
        <v>3.6500000000000005E-2</v>
      </c>
      <c r="D32" s="202">
        <f>ROUND(((D$19+D$23+D$24)/(1-$C31))*$C32,2)</f>
        <v>7.99</v>
      </c>
      <c r="E32" s="202">
        <f>ROUND(((E$19+E$23+E$24)/(1-$C31))*$C32,2)</f>
        <v>1.25</v>
      </c>
    </row>
    <row r="33" spans="1:8" ht="14.65" customHeight="1" x14ac:dyDescent="0.2">
      <c r="A33" s="281" t="s">
        <v>179</v>
      </c>
      <c r="B33" s="282"/>
      <c r="C33" s="205">
        <v>3.5000000000000003E-2</v>
      </c>
      <c r="D33" s="202">
        <f>ROUND(((D$19+D$23+D$24)/(1-$C31))*$C33,2)</f>
        <v>7.66</v>
      </c>
      <c r="E33" s="202">
        <f>ROUND(((E$19+E$23+E$24)/(1-$C31))*$C33,2)</f>
        <v>1.2</v>
      </c>
    </row>
    <row r="34" spans="1:8" ht="14.65" customHeight="1" x14ac:dyDescent="0.2">
      <c r="A34" s="274" t="s">
        <v>182</v>
      </c>
      <c r="B34" s="275"/>
      <c r="C34" s="203">
        <f>C35+C36</f>
        <v>7.6500000000000012E-2</v>
      </c>
      <c r="D34" s="204">
        <f>((D$19+D$23+D$24)/(1-($C34)))*$C34</f>
        <v>16.839112073632922</v>
      </c>
      <c r="E34" s="204">
        <f>((E$19+E$23+E$24)/(1-($C34)))*$C34</f>
        <v>2.6317325392528428</v>
      </c>
    </row>
    <row r="35" spans="1:8" ht="14.65" customHeight="1" x14ac:dyDescent="0.2">
      <c r="A35" s="281" t="s">
        <v>178</v>
      </c>
      <c r="B35" s="282"/>
      <c r="C35" s="201">
        <v>3.6500000000000005E-2</v>
      </c>
      <c r="D35" s="202">
        <f>ROUND(((D$19+D$23+D$24)/(1-$C34))*$C35,2)</f>
        <v>8.0299999999999994</v>
      </c>
      <c r="E35" s="202">
        <f>ROUND(((E$19+E$23+E$24)/(1-$C34))*$C35,2)</f>
        <v>1.26</v>
      </c>
    </row>
    <row r="36" spans="1:8" ht="14.65" customHeight="1" x14ac:dyDescent="0.2">
      <c r="A36" s="281" t="s">
        <v>179</v>
      </c>
      <c r="B36" s="282"/>
      <c r="C36" s="205">
        <v>0.04</v>
      </c>
      <c r="D36" s="202">
        <f>ROUND(((D$19+D$23+D$24)/(1-$C34))*$C36,2)</f>
        <v>8.8000000000000007</v>
      </c>
      <c r="E36" s="202">
        <f>ROUND(((E$19+E$23+E$24)/(1-$C34))*$C36,2)</f>
        <v>1.38</v>
      </c>
    </row>
    <row r="37" spans="1:8" ht="14.65" customHeight="1" x14ac:dyDescent="0.2">
      <c r="A37" s="274" t="s">
        <v>183</v>
      </c>
      <c r="B37" s="275"/>
      <c r="C37" s="203">
        <f>C38+C39</f>
        <v>8.6500000000000007E-2</v>
      </c>
      <c r="D37" s="204">
        <f>((D$19+D$23+D$24)/(1-($C37)))*$C37</f>
        <v>19.248735632183912</v>
      </c>
      <c r="E37" s="204">
        <f>((E$19+E$23+E$24)/(1-($C37)))*$C37</f>
        <v>3.0083251231527099</v>
      </c>
    </row>
    <row r="38" spans="1:8" ht="14.65" customHeight="1" x14ac:dyDescent="0.2">
      <c r="A38" s="281" t="s">
        <v>178</v>
      </c>
      <c r="B38" s="282"/>
      <c r="C38" s="201">
        <v>3.6500000000000005E-2</v>
      </c>
      <c r="D38" s="202">
        <f>ROUND(((D$19+D$23+D$24)/(1-$C37))*$C38,2)</f>
        <v>8.1199999999999992</v>
      </c>
      <c r="E38" s="202">
        <f>ROUND(((E$19+E$23+E$24)/(1-$C37))*$C38,2)</f>
        <v>1.27</v>
      </c>
    </row>
    <row r="39" spans="1:8" ht="14.65" customHeight="1" x14ac:dyDescent="0.2">
      <c r="A39" s="287" t="s">
        <v>179</v>
      </c>
      <c r="B39" s="288"/>
      <c r="C39" s="205">
        <v>0.05</v>
      </c>
      <c r="D39" s="202">
        <f>ROUND(((D$19+D$23+D$24)/(1-$C37))*$C39,2)</f>
        <v>11.13</v>
      </c>
      <c r="E39" s="202">
        <f>ROUND(((E$19+E$23+E$24)/(1-$C37))*$C39,2)</f>
        <v>1.74</v>
      </c>
    </row>
    <row r="40" spans="1:8" ht="14.65" customHeight="1" x14ac:dyDescent="0.2">
      <c r="A40" s="289" t="s">
        <v>184</v>
      </c>
      <c r="B40" s="290"/>
      <c r="C40" s="206">
        <v>0.02</v>
      </c>
      <c r="D40" s="207">
        <f>D$23+D$24+D25</f>
        <v>39.453100158982515</v>
      </c>
      <c r="E40" s="207">
        <f>E$23+E$24+E25</f>
        <v>6.1724960254372014</v>
      </c>
    </row>
    <row r="41" spans="1:8" ht="14.65" customHeight="1" x14ac:dyDescent="0.2">
      <c r="A41" s="289"/>
      <c r="B41" s="290"/>
      <c r="C41" s="206">
        <v>0.03</v>
      </c>
      <c r="D41" s="207">
        <f>D$23+D$24+D28</f>
        <v>41.76111408677022</v>
      </c>
      <c r="E41" s="207">
        <f>E$23+E$24+E28</f>
        <v>6.5332083556507765</v>
      </c>
    </row>
    <row r="42" spans="1:8" ht="14.65" customHeight="1" x14ac:dyDescent="0.2">
      <c r="A42" s="289"/>
      <c r="B42" s="290"/>
      <c r="C42" s="206">
        <v>3.5000000000000003E-2</v>
      </c>
      <c r="D42" s="207">
        <f>D$23+D$24+D31</f>
        <v>42.933764135702745</v>
      </c>
      <c r="E42" s="207">
        <f>E$23+E$24+E31</f>
        <v>6.7164781906300481</v>
      </c>
    </row>
    <row r="43" spans="1:8" ht="14.65" customHeight="1" x14ac:dyDescent="0.2">
      <c r="A43" s="289"/>
      <c r="B43" s="290"/>
      <c r="C43" s="206">
        <v>0.04</v>
      </c>
      <c r="D43" s="207">
        <f>D$23+D$24+D34</f>
        <v>44.11911207363292</v>
      </c>
      <c r="E43" s="207">
        <f>E$23+E$24+E34</f>
        <v>6.9017325392528424</v>
      </c>
    </row>
    <row r="44" spans="1:8" ht="14.65" customHeight="1" x14ac:dyDescent="0.2">
      <c r="A44" s="289"/>
      <c r="B44" s="290"/>
      <c r="C44" s="208">
        <v>0.05</v>
      </c>
      <c r="D44" s="207">
        <f>D$23+D$24+D37</f>
        <v>46.52873563218391</v>
      </c>
      <c r="E44" s="207">
        <f>E$23+E$24+E37</f>
        <v>7.27832512315271</v>
      </c>
    </row>
    <row r="45" spans="1:8" ht="14.65" customHeight="1" x14ac:dyDescent="0.2">
      <c r="A45"/>
      <c r="B45" s="152"/>
      <c r="C45" s="153"/>
      <c r="D45" s="154"/>
      <c r="E45" s="154"/>
      <c r="F45" s="154"/>
      <c r="G45" s="154"/>
    </row>
    <row r="47" spans="1:8" ht="27.95" customHeight="1" x14ac:dyDescent="0.2">
      <c r="A47" s="155"/>
      <c r="B47" s="156"/>
      <c r="C47" s="156"/>
      <c r="D47" s="156"/>
      <c r="E47" s="156"/>
      <c r="F47" s="156"/>
      <c r="G47" s="156"/>
      <c r="H47" s="156"/>
    </row>
    <row r="48" spans="1:8" ht="40.15" customHeight="1" x14ac:dyDescent="0.2">
      <c r="A48" s="284" t="s">
        <v>185</v>
      </c>
      <c r="B48" s="284"/>
      <c r="C48" s="284"/>
      <c r="D48" s="284"/>
      <c r="E48" s="284"/>
      <c r="F48" s="284"/>
      <c r="G48" s="284"/>
      <c r="H48" s="284"/>
    </row>
    <row r="50" ht="52.15" customHeight="1" x14ac:dyDescent="0.2"/>
    <row r="65465" ht="12.75" customHeight="1" x14ac:dyDescent="0.2"/>
    <row r="65466" ht="12.75" customHeight="1" x14ac:dyDescent="0.2"/>
    <row r="65467" ht="12.75" customHeight="1" x14ac:dyDescent="0.2"/>
    <row r="65468" ht="12.75" customHeight="1" x14ac:dyDescent="0.2"/>
    <row r="65469" ht="12.75" customHeight="1" x14ac:dyDescent="0.2"/>
    <row r="65470" ht="12.75" customHeight="1" x14ac:dyDescent="0.2"/>
    <row r="65471" ht="12.75" customHeight="1" x14ac:dyDescent="0.2"/>
    <row r="65472" ht="12.75" customHeight="1" x14ac:dyDescent="0.2"/>
    <row r="65473" ht="12.75" customHeight="1" x14ac:dyDescent="0.2"/>
    <row r="65474" ht="12.75" customHeight="1" x14ac:dyDescent="0.2"/>
    <row r="65475" ht="12.75" customHeight="1" x14ac:dyDescent="0.2"/>
    <row r="65476" ht="12.75" customHeight="1" x14ac:dyDescent="0.2"/>
    <row r="65477" ht="12.75" customHeight="1" x14ac:dyDescent="0.2"/>
    <row r="65478" ht="12.75" customHeight="1" x14ac:dyDescent="0.2"/>
    <row r="65479" ht="12.75" customHeight="1" x14ac:dyDescent="0.2"/>
    <row r="65480" ht="12.75" customHeight="1" x14ac:dyDescent="0.2"/>
    <row r="65481" ht="12.75" customHeight="1" x14ac:dyDescent="0.2"/>
    <row r="65482" ht="12.75" customHeight="1" x14ac:dyDescent="0.2"/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</sheetData>
  <sheetProtection selectLockedCells="1" selectUnlockedCells="1"/>
  <mergeCells count="34">
    <mergeCell ref="A4:K4"/>
    <mergeCell ref="A1:K1"/>
    <mergeCell ref="A2:K2"/>
    <mergeCell ref="A3:K3"/>
    <mergeCell ref="A48:H48"/>
    <mergeCell ref="D7:F7"/>
    <mergeCell ref="D9:F9"/>
    <mergeCell ref="A38:B38"/>
    <mergeCell ref="A39:B39"/>
    <mergeCell ref="A40:B44"/>
    <mergeCell ref="A32:B32"/>
    <mergeCell ref="A33:B33"/>
    <mergeCell ref="A34:B34"/>
    <mergeCell ref="A35:B35"/>
    <mergeCell ref="A36:B36"/>
    <mergeCell ref="A37:B37"/>
    <mergeCell ref="A31:B31"/>
    <mergeCell ref="A19:C19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D8:G8"/>
    <mergeCell ref="A6:K6"/>
    <mergeCell ref="A18:C18"/>
    <mergeCell ref="A15:C16"/>
    <mergeCell ref="A17:C17"/>
    <mergeCell ref="A14:E14"/>
    <mergeCell ref="A12:E12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&amp;C&amp;A</oddHeader>
    <oddFooter>&amp;CPágina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85" zoomScaleNormal="85" zoomScaleSheetLayoutView="75" workbookViewId="0">
      <selection activeCell="E10" sqref="E10"/>
    </sheetView>
  </sheetViews>
  <sheetFormatPr defaultColWidth="8.7109375" defaultRowHeight="14.65" customHeight="1" x14ac:dyDescent="0.2"/>
  <cols>
    <col min="2" max="2" width="40" customWidth="1"/>
    <col min="5" max="5" width="10.7109375" customWidth="1"/>
  </cols>
  <sheetData>
    <row r="1" spans="1:11" ht="24.4" customHeight="1" x14ac:dyDescent="0.2">
      <c r="A1" s="291" t="s">
        <v>0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</row>
    <row r="2" spans="1:11" ht="12.75" customHeight="1" x14ac:dyDescent="0.2">
      <c r="A2" s="221" t="s">
        <v>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</row>
    <row r="3" spans="1:11" ht="12.75" customHeight="1" x14ac:dyDescent="0.2">
      <c r="A3" s="221" t="s">
        <v>235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4" spans="1:11" ht="27.75" customHeight="1" x14ac:dyDescent="0.2">
      <c r="A4" s="238" t="s">
        <v>186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</row>
    <row r="5" spans="1:11" ht="14.25" customHeight="1" x14ac:dyDescent="0.2">
      <c r="A5" s="292"/>
      <c r="B5" s="292"/>
      <c r="C5" s="292"/>
      <c r="D5" s="292"/>
      <c r="E5" s="292"/>
      <c r="F5" s="157"/>
      <c r="G5" s="157"/>
      <c r="H5" s="157"/>
    </row>
    <row r="6" spans="1:11" ht="27.75" customHeight="1" x14ac:dyDescent="0.2">
      <c r="A6" s="158" t="s">
        <v>4</v>
      </c>
      <c r="B6" s="158" t="s">
        <v>5</v>
      </c>
      <c r="C6" s="158" t="s">
        <v>187</v>
      </c>
      <c r="D6" s="159" t="s">
        <v>188</v>
      </c>
      <c r="E6" s="159" t="s">
        <v>189</v>
      </c>
      <c r="F6" s="157"/>
      <c r="G6" s="157"/>
      <c r="H6" s="157"/>
    </row>
    <row r="7" spans="1:11" ht="14.25" customHeight="1" x14ac:dyDescent="0.2">
      <c r="A7" s="160"/>
      <c r="B7" s="28" t="s">
        <v>13</v>
      </c>
      <c r="C7" s="148"/>
      <c r="D7" s="160"/>
      <c r="E7" s="148">
        <f>E9/D9</f>
        <v>6</v>
      </c>
      <c r="F7" s="157"/>
      <c r="G7" s="157"/>
      <c r="H7" s="157"/>
    </row>
    <row r="8" spans="1:11" ht="14.25" customHeight="1" x14ac:dyDescent="0.2">
      <c r="A8" s="18">
        <v>1</v>
      </c>
      <c r="B8" s="18" t="s">
        <v>208</v>
      </c>
      <c r="C8" s="161">
        <v>6</v>
      </c>
      <c r="D8" s="157">
        <v>1</v>
      </c>
      <c r="E8" s="162">
        <f t="shared" ref="E8" si="0">C8*D8</f>
        <v>6</v>
      </c>
      <c r="F8" s="157"/>
      <c r="G8" s="157"/>
      <c r="H8" s="157"/>
    </row>
    <row r="9" spans="1:11" ht="14.25" customHeight="1" x14ac:dyDescent="0.2">
      <c r="A9" s="18"/>
      <c r="B9" s="18"/>
      <c r="C9" s="163" t="s">
        <v>12</v>
      </c>
      <c r="D9" s="18">
        <v>22</v>
      </c>
      <c r="E9" s="164">
        <f>E8*D9</f>
        <v>132</v>
      </c>
      <c r="F9" s="157"/>
      <c r="G9" s="157"/>
      <c r="H9" s="157"/>
    </row>
    <row r="11" spans="1:11" ht="64.349999999999994" customHeight="1" x14ac:dyDescent="0.2">
      <c r="A11" s="284" t="s">
        <v>185</v>
      </c>
      <c r="B11" s="284"/>
      <c r="C11" s="284"/>
      <c r="D11" s="284"/>
      <c r="E11" s="284"/>
    </row>
  </sheetData>
  <sheetProtection selectLockedCells="1" selectUnlockedCells="1"/>
  <mergeCells count="6">
    <mergeCell ref="A11:E11"/>
    <mergeCell ref="A1:K1"/>
    <mergeCell ref="A2:K2"/>
    <mergeCell ref="A3:K3"/>
    <mergeCell ref="A4:K4"/>
    <mergeCell ref="A5:E5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65521"/>
  <sheetViews>
    <sheetView zoomScale="85" zoomScaleNormal="85" zoomScaleSheetLayoutView="75" workbookViewId="0">
      <selection activeCell="A3" sqref="A3:G3"/>
    </sheetView>
  </sheetViews>
  <sheetFormatPr defaultColWidth="11" defaultRowHeight="14.65" customHeight="1" x14ac:dyDescent="0.2"/>
  <cols>
    <col min="1" max="1" width="49.28515625" style="165" bestFit="1" customWidth="1"/>
    <col min="2" max="2" width="13.5703125" style="165" customWidth="1"/>
    <col min="3" max="3" width="14" style="165" customWidth="1"/>
    <col min="4" max="4" width="15.42578125" style="165" customWidth="1"/>
    <col min="5" max="5" width="14.5703125" style="165" customWidth="1"/>
    <col min="6" max="6" width="13.5703125" style="165" customWidth="1"/>
    <col min="7" max="7" width="13.28515625" style="165" customWidth="1"/>
    <col min="8" max="8" width="13" style="165" customWidth="1"/>
    <col min="9" max="9" width="16.5703125" style="165" customWidth="1"/>
    <col min="10" max="10" width="12.5703125" style="165" customWidth="1"/>
    <col min="11" max="11" width="14" style="165" customWidth="1"/>
    <col min="12" max="255" width="10.85546875" style="165" customWidth="1"/>
  </cols>
  <sheetData>
    <row r="1" spans="1:255" ht="24.4" customHeight="1" thickBot="1" x14ac:dyDescent="0.25">
      <c r="A1" s="295" t="s">
        <v>0</v>
      </c>
      <c r="B1" s="296"/>
      <c r="C1" s="296"/>
      <c r="D1" s="296"/>
      <c r="E1" s="296"/>
      <c r="F1" s="296"/>
      <c r="G1" s="297"/>
      <c r="IR1"/>
      <c r="IS1"/>
      <c r="IT1"/>
      <c r="IU1"/>
    </row>
    <row r="2" spans="1:255" ht="12.75" customHeight="1" x14ac:dyDescent="0.2">
      <c r="A2" s="299" t="s">
        <v>1</v>
      </c>
      <c r="B2" s="299"/>
      <c r="C2" s="299"/>
      <c r="D2" s="299"/>
      <c r="E2" s="299"/>
      <c r="F2" s="299"/>
      <c r="G2" s="299"/>
      <c r="IR2"/>
      <c r="IS2"/>
      <c r="IT2"/>
      <c r="IU2"/>
    </row>
    <row r="3" spans="1:255" ht="12.75" customHeight="1" thickBot="1" x14ac:dyDescent="0.25">
      <c r="A3" s="298" t="s">
        <v>235</v>
      </c>
      <c r="B3" s="298"/>
      <c r="C3" s="298"/>
      <c r="D3" s="298"/>
      <c r="E3" s="298"/>
      <c r="F3" s="298"/>
      <c r="G3" s="298"/>
      <c r="IR3"/>
      <c r="IS3"/>
      <c r="IT3"/>
      <c r="IU3"/>
    </row>
    <row r="4" spans="1:255" ht="24.4" customHeight="1" thickBot="1" x14ac:dyDescent="0.25">
      <c r="A4" s="271" t="s">
        <v>190</v>
      </c>
      <c r="B4" s="272"/>
      <c r="C4" s="272"/>
      <c r="D4" s="272"/>
      <c r="E4" s="272"/>
      <c r="F4" s="272"/>
      <c r="G4" s="273"/>
      <c r="IR4"/>
      <c r="IS4"/>
      <c r="IT4"/>
      <c r="IU4"/>
    </row>
    <row r="5" spans="1:255" ht="14.65" customHeight="1" x14ac:dyDescent="0.2">
      <c r="A5" s="166"/>
      <c r="B5" s="167"/>
      <c r="C5" s="167"/>
      <c r="D5" s="167"/>
      <c r="E5" s="167"/>
      <c r="F5" s="167"/>
      <c r="G5" s="167"/>
      <c r="H5" s="167"/>
      <c r="I5" s="167"/>
      <c r="J5" s="168"/>
      <c r="K5" s="168"/>
    </row>
    <row r="6" spans="1:255" ht="14.65" customHeight="1" x14ac:dyDescent="0.2">
      <c r="A6" s="293" t="s">
        <v>225</v>
      </c>
      <c r="B6" s="293"/>
      <c r="C6" s="293"/>
      <c r="D6" s="293"/>
      <c r="E6" s="293"/>
      <c r="F6" s="293"/>
      <c r="G6" s="293"/>
      <c r="H6" s="169"/>
      <c r="I6" s="170"/>
      <c r="J6" s="170"/>
      <c r="K6" s="170"/>
    </row>
    <row r="7" spans="1:255" ht="69" customHeight="1" x14ac:dyDescent="0.2">
      <c r="A7" s="171" t="s">
        <v>191</v>
      </c>
      <c r="B7" s="172" t="s">
        <v>232</v>
      </c>
      <c r="C7" s="172" t="s">
        <v>192</v>
      </c>
      <c r="D7" s="173" t="s">
        <v>193</v>
      </c>
      <c r="E7" s="173" t="s">
        <v>194</v>
      </c>
      <c r="F7" s="173" t="s">
        <v>195</v>
      </c>
      <c r="G7" s="173" t="s">
        <v>196</v>
      </c>
      <c r="IP7"/>
      <c r="IQ7"/>
      <c r="IR7"/>
      <c r="IS7"/>
      <c r="IT7"/>
      <c r="IU7"/>
    </row>
    <row r="8" spans="1:255" ht="14.85" customHeight="1" x14ac:dyDescent="0.2">
      <c r="A8" s="174" t="s">
        <v>226</v>
      </c>
      <c r="B8" s="175"/>
      <c r="C8" s="175"/>
      <c r="D8" s="175" t="e">
        <f t="shared" ref="D8:D13" si="0">AVERAGE(B8:C8)</f>
        <v>#DIV/0!</v>
      </c>
      <c r="E8" s="176">
        <v>2</v>
      </c>
      <c r="F8" s="177" t="e">
        <f t="shared" ref="F8:F13" si="1">ROUND((D8*E8),2)</f>
        <v>#DIV/0!</v>
      </c>
      <c r="G8" s="177" t="e">
        <f t="shared" ref="G8:G13" si="2">ROUND((F8/12),2)</f>
        <v>#DIV/0!</v>
      </c>
      <c r="IP8"/>
      <c r="IQ8"/>
      <c r="IR8"/>
      <c r="IS8"/>
      <c r="IT8"/>
      <c r="IU8"/>
    </row>
    <row r="9" spans="1:255" ht="14.85" customHeight="1" x14ac:dyDescent="0.2">
      <c r="A9" s="178" t="s">
        <v>229</v>
      </c>
      <c r="B9" s="179"/>
      <c r="C9" s="179"/>
      <c r="D9" s="179" t="e">
        <f t="shared" ref="D9:D12" si="3">AVERAGE(B9:C9)</f>
        <v>#DIV/0!</v>
      </c>
      <c r="E9" s="180">
        <v>2</v>
      </c>
      <c r="F9" s="181" t="e">
        <f t="shared" ref="F9:F12" si="4">ROUND((D9*E9),2)</f>
        <v>#DIV/0!</v>
      </c>
      <c r="G9" s="181" t="e">
        <f t="shared" ref="G9:G12" si="5">ROUND((F9/12),2)</f>
        <v>#DIV/0!</v>
      </c>
      <c r="IP9"/>
      <c r="IQ9"/>
      <c r="IR9"/>
      <c r="IS9"/>
      <c r="IT9"/>
      <c r="IU9"/>
    </row>
    <row r="10" spans="1:255" ht="14.85" customHeight="1" x14ac:dyDescent="0.2">
      <c r="A10" s="174" t="s">
        <v>230</v>
      </c>
      <c r="B10" s="175"/>
      <c r="C10" s="175"/>
      <c r="D10" s="175" t="e">
        <f t="shared" si="3"/>
        <v>#DIV/0!</v>
      </c>
      <c r="E10" s="176">
        <v>2</v>
      </c>
      <c r="F10" s="177" t="e">
        <f t="shared" si="4"/>
        <v>#DIV/0!</v>
      </c>
      <c r="G10" s="177" t="e">
        <f t="shared" si="5"/>
        <v>#DIV/0!</v>
      </c>
      <c r="IP10"/>
      <c r="IQ10"/>
      <c r="IR10"/>
      <c r="IS10"/>
      <c r="IT10"/>
      <c r="IU10"/>
    </row>
    <row r="11" spans="1:255" ht="14.85" customHeight="1" x14ac:dyDescent="0.2">
      <c r="A11" s="178" t="s">
        <v>227</v>
      </c>
      <c r="B11" s="179"/>
      <c r="C11" s="179"/>
      <c r="D11" s="179" t="e">
        <f t="shared" si="3"/>
        <v>#DIV/0!</v>
      </c>
      <c r="E11" s="180">
        <v>1</v>
      </c>
      <c r="F11" s="181" t="e">
        <f t="shared" si="4"/>
        <v>#DIV/0!</v>
      </c>
      <c r="G11" s="181" t="e">
        <f t="shared" si="5"/>
        <v>#DIV/0!</v>
      </c>
      <c r="IP11"/>
      <c r="IQ11"/>
      <c r="IR11"/>
      <c r="IS11"/>
      <c r="IT11"/>
      <c r="IU11"/>
    </row>
    <row r="12" spans="1:255" ht="14.85" customHeight="1" x14ac:dyDescent="0.2">
      <c r="A12" s="174" t="s">
        <v>228</v>
      </c>
      <c r="B12" s="175"/>
      <c r="C12" s="175"/>
      <c r="D12" s="175" t="e">
        <f t="shared" si="3"/>
        <v>#DIV/0!</v>
      </c>
      <c r="E12" s="176">
        <v>2</v>
      </c>
      <c r="F12" s="177" t="e">
        <f t="shared" si="4"/>
        <v>#DIV/0!</v>
      </c>
      <c r="G12" s="177" t="e">
        <f t="shared" si="5"/>
        <v>#DIV/0!</v>
      </c>
      <c r="IP12"/>
      <c r="IQ12"/>
      <c r="IR12"/>
      <c r="IS12"/>
      <c r="IT12"/>
      <c r="IU12"/>
    </row>
    <row r="13" spans="1:255" ht="14.85" customHeight="1" x14ac:dyDescent="0.2">
      <c r="A13" s="178" t="s">
        <v>231</v>
      </c>
      <c r="B13" s="179"/>
      <c r="C13" s="179"/>
      <c r="D13" s="179" t="e">
        <f t="shared" si="0"/>
        <v>#DIV/0!</v>
      </c>
      <c r="E13" s="180">
        <v>1</v>
      </c>
      <c r="F13" s="181" t="e">
        <f t="shared" si="1"/>
        <v>#DIV/0!</v>
      </c>
      <c r="G13" s="181" t="e">
        <f t="shared" si="2"/>
        <v>#DIV/0!</v>
      </c>
      <c r="IP13"/>
      <c r="IQ13"/>
      <c r="IR13"/>
      <c r="IS13"/>
      <c r="IT13"/>
      <c r="IU13"/>
    </row>
    <row r="14" spans="1:255" ht="14.85" customHeight="1" x14ac:dyDescent="0.2">
      <c r="A14" s="294" t="s">
        <v>197</v>
      </c>
      <c r="B14" s="294"/>
      <c r="C14" s="294"/>
      <c r="D14" s="294"/>
      <c r="E14" s="294"/>
      <c r="F14" s="294"/>
      <c r="G14" s="182" t="e">
        <f>SUM(G8:G13)</f>
        <v>#DIV/0!</v>
      </c>
      <c r="IP14"/>
      <c r="IQ14"/>
      <c r="IR14"/>
      <c r="IS14"/>
      <c r="IT14"/>
      <c r="IU14"/>
    </row>
    <row r="15" spans="1:255" ht="14.85" customHeight="1" x14ac:dyDescent="0.2">
      <c r="A15" s="168"/>
      <c r="B15" s="168"/>
      <c r="C15" s="168"/>
      <c r="D15" s="168"/>
      <c r="E15" s="168"/>
      <c r="F15" s="168"/>
      <c r="G15" s="168"/>
      <c r="IP15"/>
      <c r="IQ15"/>
      <c r="IR15"/>
      <c r="IS15"/>
      <c r="IT15"/>
      <c r="IU15"/>
    </row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</sheetData>
  <sheetProtection selectLockedCells="1" selectUnlockedCells="1"/>
  <mergeCells count="6">
    <mergeCell ref="A6:G6"/>
    <mergeCell ref="A14:F14"/>
    <mergeCell ref="A1:G1"/>
    <mergeCell ref="A4:G4"/>
    <mergeCell ref="A3:G3"/>
    <mergeCell ref="A2:G2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36"/>
  <sheetViews>
    <sheetView zoomScale="85" zoomScaleNormal="85" zoomScaleSheetLayoutView="75" workbookViewId="0">
      <selection activeCell="I28" sqref="I28"/>
    </sheetView>
  </sheetViews>
  <sheetFormatPr defaultColWidth="11.5703125" defaultRowHeight="14.65" customHeight="1" x14ac:dyDescent="0.2"/>
  <cols>
    <col min="1" max="9" width="12.7109375" customWidth="1"/>
    <col min="10" max="10" width="3.28515625" customWidth="1"/>
    <col min="14" max="14" width="15.7109375" customWidth="1"/>
    <col min="17" max="17" width="13.28515625" customWidth="1"/>
  </cols>
  <sheetData>
    <row r="1" spans="1:11" ht="24.4" customHeight="1" x14ac:dyDescent="0.2">
      <c r="A1" s="291" t="s">
        <v>0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</row>
    <row r="2" spans="1:11" ht="12.75" customHeight="1" x14ac:dyDescent="0.2">
      <c r="A2" s="221" t="s">
        <v>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</row>
    <row r="3" spans="1:11" ht="12.75" customHeight="1" x14ac:dyDescent="0.2">
      <c r="A3" s="221" t="s">
        <v>235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4" spans="1:11" ht="24.4" customHeight="1" x14ac:dyDescent="0.2">
      <c r="A4" s="300" t="s">
        <v>198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</row>
    <row r="5" spans="1:11" ht="12.75" customHeight="1" x14ac:dyDescent="0.2"/>
    <row r="6" spans="1:11" ht="14.65" customHeight="1" x14ac:dyDescent="0.2">
      <c r="A6" s="183" t="s">
        <v>199</v>
      </c>
      <c r="B6" s="183" t="s">
        <v>200</v>
      </c>
      <c r="C6" s="183" t="s">
        <v>201</v>
      </c>
      <c r="D6" s="183" t="s">
        <v>202</v>
      </c>
      <c r="E6" s="183"/>
      <c r="F6" s="183"/>
      <c r="G6" s="183"/>
      <c r="H6" s="183"/>
      <c r="I6" s="183"/>
      <c r="K6" s="183" t="s">
        <v>203</v>
      </c>
    </row>
    <row r="7" spans="1:11" ht="14.65" customHeight="1" x14ac:dyDescent="0.2">
      <c r="A7" s="184" t="s">
        <v>204</v>
      </c>
      <c r="B7" s="185">
        <f>49.9/2</f>
        <v>24.95</v>
      </c>
      <c r="C7" s="185">
        <v>24.99</v>
      </c>
      <c r="D7" s="185">
        <v>25</v>
      </c>
      <c r="E7" s="185"/>
      <c r="H7" s="185"/>
      <c r="I7" s="185"/>
      <c r="J7" s="185"/>
      <c r="K7" s="186">
        <f>AVERAGE(B7:I7)</f>
        <v>24.98</v>
      </c>
    </row>
    <row r="10" spans="1:11" ht="24.4" customHeight="1" x14ac:dyDescent="0.2">
      <c r="A10" s="300" t="s">
        <v>205</v>
      </c>
      <c r="B10" s="300"/>
      <c r="C10" s="300"/>
      <c r="D10" s="300"/>
      <c r="E10" s="300"/>
      <c r="F10" s="300"/>
      <c r="G10" s="300"/>
      <c r="H10" s="300"/>
      <c r="I10" s="300"/>
      <c r="J10" s="300"/>
      <c r="K10" s="300"/>
    </row>
    <row r="12" spans="1:11" ht="14.65" customHeight="1" x14ac:dyDescent="0.2">
      <c r="A12" s="183" t="s">
        <v>199</v>
      </c>
      <c r="B12" s="183" t="s">
        <v>200</v>
      </c>
      <c r="C12" s="183" t="s">
        <v>206</v>
      </c>
      <c r="D12" s="183" t="s">
        <v>207</v>
      </c>
      <c r="E12" s="183"/>
      <c r="F12" s="183"/>
      <c r="G12" s="183"/>
      <c r="H12" s="183"/>
      <c r="I12" s="183"/>
      <c r="K12" s="183" t="s">
        <v>203</v>
      </c>
    </row>
    <row r="13" spans="1:11" ht="14.65" customHeight="1" x14ac:dyDescent="0.2">
      <c r="A13" s="184" t="s">
        <v>204</v>
      </c>
      <c r="B13" s="185">
        <f>49.9/2</f>
        <v>24.95</v>
      </c>
      <c r="C13" s="185">
        <f>(7.9+39.9)/2</f>
        <v>23.9</v>
      </c>
      <c r="D13" s="185">
        <v>29.9</v>
      </c>
      <c r="E13" s="185"/>
      <c r="H13" s="185"/>
      <c r="I13" s="185"/>
      <c r="J13" s="185"/>
      <c r="K13" s="186">
        <f>AVERAGE(B13:I13)</f>
        <v>26.25</v>
      </c>
    </row>
    <row r="16" spans="1:11" s="187" customFormat="1" ht="16.7" customHeight="1" x14ac:dyDescent="0.2"/>
    <row r="17" s="187" customFormat="1" ht="55.9" customHeight="1" x14ac:dyDescent="0.2"/>
    <row r="18" s="187" customFormat="1" ht="29.85" customHeight="1" x14ac:dyDescent="0.2"/>
    <row r="19" s="187" customFormat="1" ht="55.9" customHeight="1" x14ac:dyDescent="0.2"/>
    <row r="65480" ht="12.75" customHeight="1" x14ac:dyDescent="0.2"/>
    <row r="65481" ht="12.75" customHeight="1" x14ac:dyDescent="0.2"/>
    <row r="65482" ht="12.75" customHeight="1" x14ac:dyDescent="0.2"/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sheetProtection selectLockedCells="1" selectUnlockedCells="1"/>
  <mergeCells count="5">
    <mergeCell ref="A1:K1"/>
    <mergeCell ref="A2:K2"/>
    <mergeCell ref="A3:K3"/>
    <mergeCell ref="A4:K4"/>
    <mergeCell ref="A10:K10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HEs+Diárias+AS</vt:lpstr>
      <vt:lpstr>Postos</vt:lpstr>
      <vt:lpstr>Pernoite, Alimentação e HE</vt:lpstr>
      <vt:lpstr>VT</vt:lpstr>
      <vt:lpstr>Uniforme</vt:lpstr>
      <vt:lpstr>Seguro Vida e Plano Saúde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Gunther Furtado</dc:creator>
  <cp:lastModifiedBy>Camila Hellmann</cp:lastModifiedBy>
  <dcterms:created xsi:type="dcterms:W3CDTF">2023-08-04T16:18:59Z</dcterms:created>
  <dcterms:modified xsi:type="dcterms:W3CDTF">2024-06-27T18:18:08Z</dcterms:modified>
</cp:coreProperties>
</file>