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G:\COORDENACAO-PLANEJAMENTO\DFI\04 - CONTABILIDADE\04 - RGF\2024\"/>
    </mc:Choice>
  </mc:AlternateContent>
  <xr:revisionPtr revIDLastSave="0" documentId="13_ncr:1_{1618F40C-8E33-4B79-8CBD-106D5D49711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nexo 1 - Pessoal Defensoria" sheetId="1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0</definedName>
    <definedName name="HTML_LineBefore">0</definedName>
    <definedName name="HTML_Name">"Rede Integrada"</definedName>
    <definedName name="HTML_OBDlg2">1</definedName>
    <definedName name="HTML_OBDlg4">1</definedName>
    <definedName name="HTML_OS">0</definedName>
    <definedName name="HTML_PathFile">"C:\internetemp\balpep1.htm"</definedName>
    <definedName name="HTML_Title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8" i="1" l="1"/>
  <c r="Z31" i="1" l="1"/>
  <c r="AB31" i="1" s="1"/>
  <c r="W28" i="1"/>
  <c r="V28" i="1"/>
  <c r="Z29" i="1"/>
  <c r="AB29" i="1" s="1"/>
  <c r="Y23" i="1" l="1"/>
  <c r="Z23" i="1" s="1"/>
  <c r="U32" i="1" l="1"/>
  <c r="X28" i="1"/>
  <c r="U28" i="1"/>
  <c r="T32" i="1"/>
  <c r="T28" i="1" s="1"/>
  <c r="S32" i="1"/>
  <c r="R32" i="1"/>
  <c r="Q32" i="1"/>
  <c r="Q28" i="1" s="1"/>
  <c r="P32" i="1"/>
  <c r="P28" i="1" s="1"/>
  <c r="O32" i="1"/>
  <c r="O28" i="1" s="1"/>
  <c r="N32" i="1"/>
  <c r="S28" i="1"/>
  <c r="R28" i="1"/>
  <c r="U24" i="1"/>
  <c r="U22" i="1" s="1"/>
  <c r="T22" i="1"/>
  <c r="S22" i="1"/>
  <c r="R22" i="1"/>
  <c r="Q22" i="1"/>
  <c r="P22" i="1"/>
  <c r="O22" i="1"/>
  <c r="N22" i="1"/>
  <c r="U20" i="1"/>
  <c r="T20" i="1"/>
  <c r="S20" i="1"/>
  <c r="R20" i="1"/>
  <c r="Q20" i="1"/>
  <c r="P20" i="1"/>
  <c r="O20" i="1"/>
  <c r="N20" i="1"/>
  <c r="U19" i="1"/>
  <c r="T19" i="1"/>
  <c r="S19" i="1"/>
  <c r="S18" i="1" s="1"/>
  <c r="S17" i="1" s="1"/>
  <c r="R19" i="1"/>
  <c r="Q19" i="1"/>
  <c r="P19" i="1"/>
  <c r="O19" i="1"/>
  <c r="N19" i="1"/>
  <c r="U18" i="1"/>
  <c r="T18" i="1"/>
  <c r="T17" i="1" s="1"/>
  <c r="R18" i="1"/>
  <c r="R17" i="1" s="1"/>
  <c r="R34" i="1" s="1"/>
  <c r="Q18" i="1"/>
  <c r="P18" i="1"/>
  <c r="O18" i="1"/>
  <c r="O17" i="1" s="1"/>
  <c r="O34" i="1" s="1"/>
  <c r="N18" i="1"/>
  <c r="N17" i="1" s="1"/>
  <c r="N34" i="1" s="1"/>
  <c r="Q17" i="1"/>
  <c r="P17" i="1"/>
  <c r="V18" i="1"/>
  <c r="V22" i="1"/>
  <c r="M32" i="1"/>
  <c r="L32" i="1"/>
  <c r="L28" i="1" s="1"/>
  <c r="K32" i="1"/>
  <c r="K28" i="1" s="1"/>
  <c r="J32" i="1"/>
  <c r="J28" i="1" s="1"/>
  <c r="I32" i="1"/>
  <c r="H32" i="1"/>
  <c r="H28" i="1" s="1"/>
  <c r="G32" i="1"/>
  <c r="G28" i="1" s="1"/>
  <c r="F32" i="1"/>
  <c r="F28" i="1" s="1"/>
  <c r="E32" i="1"/>
  <c r="E28" i="1" s="1"/>
  <c r="D32" i="1"/>
  <c r="D28" i="1" s="1"/>
  <c r="C32" i="1"/>
  <c r="C28" i="1" s="1"/>
  <c r="B32" i="1"/>
  <c r="B28" i="1" s="1"/>
  <c r="Y28" i="1"/>
  <c r="M28" i="1"/>
  <c r="I28" i="1"/>
  <c r="M24" i="1"/>
  <c r="AB23" i="1"/>
  <c r="M23" i="1"/>
  <c r="X22" i="1"/>
  <c r="W22" i="1"/>
  <c r="L22" i="1"/>
  <c r="K22" i="1"/>
  <c r="J22" i="1"/>
  <c r="I22" i="1"/>
  <c r="H22" i="1"/>
  <c r="G22" i="1"/>
  <c r="F22" i="1"/>
  <c r="E22" i="1"/>
  <c r="D22" i="1"/>
  <c r="C22" i="1"/>
  <c r="B22" i="1"/>
  <c r="Z21" i="1"/>
  <c r="M20" i="1"/>
  <c r="L20" i="1"/>
  <c r="K20" i="1"/>
  <c r="J20" i="1"/>
  <c r="I20" i="1"/>
  <c r="H20" i="1"/>
  <c r="G20" i="1"/>
  <c r="F20" i="1"/>
  <c r="E20" i="1"/>
  <c r="D20" i="1"/>
  <c r="C20" i="1"/>
  <c r="B20" i="1"/>
  <c r="Y18" i="1"/>
  <c r="M19" i="1"/>
  <c r="L19" i="1"/>
  <c r="K19" i="1"/>
  <c r="J19" i="1"/>
  <c r="I19" i="1"/>
  <c r="H19" i="1"/>
  <c r="H18" i="1" s="1"/>
  <c r="G19" i="1"/>
  <c r="F19" i="1"/>
  <c r="E19" i="1"/>
  <c r="D19" i="1"/>
  <c r="D18" i="1" s="1"/>
  <c r="C19" i="1"/>
  <c r="B19" i="1"/>
  <c r="AA18" i="1"/>
  <c r="AA17" i="1" s="1"/>
  <c r="AA34" i="1" s="1"/>
  <c r="X18" i="1"/>
  <c r="L18" i="1"/>
  <c r="D17" i="1" l="1"/>
  <c r="H17" i="1"/>
  <c r="H34" i="1" s="1"/>
  <c r="L17" i="1"/>
  <c r="L34" i="1" s="1"/>
  <c r="E18" i="1"/>
  <c r="E17" i="1" s="1"/>
  <c r="E34" i="1" s="1"/>
  <c r="I18" i="1"/>
  <c r="M18" i="1"/>
  <c r="Q34" i="1"/>
  <c r="Z19" i="1"/>
  <c r="AB19" i="1" s="1"/>
  <c r="Z20" i="1"/>
  <c r="AB20" i="1" s="1"/>
  <c r="D34" i="1"/>
  <c r="I17" i="1"/>
  <c r="I34" i="1" s="1"/>
  <c r="S34" i="1"/>
  <c r="Z28" i="1"/>
  <c r="AB28" i="1" s="1"/>
  <c r="Z32" i="1"/>
  <c r="AB32" i="1" s="1"/>
  <c r="B18" i="1"/>
  <c r="B17" i="1" s="1"/>
  <c r="B34" i="1" s="1"/>
  <c r="F18" i="1"/>
  <c r="F17" i="1" s="1"/>
  <c r="F34" i="1" s="1"/>
  <c r="J18" i="1"/>
  <c r="J17" i="1" s="1"/>
  <c r="J34" i="1" s="1"/>
  <c r="P34" i="1"/>
  <c r="T34" i="1"/>
  <c r="U17" i="1"/>
  <c r="U34" i="1" s="1"/>
  <c r="V17" i="1"/>
  <c r="V34" i="1" s="1"/>
  <c r="X17" i="1"/>
  <c r="X34" i="1" s="1"/>
  <c r="Z24" i="1"/>
  <c r="AB24" i="1" s="1"/>
  <c r="C18" i="1"/>
  <c r="C17" i="1" s="1"/>
  <c r="C34" i="1" s="1"/>
  <c r="G18" i="1"/>
  <c r="G17" i="1" s="1"/>
  <c r="G34" i="1" s="1"/>
  <c r="K18" i="1"/>
  <c r="K17" i="1" s="1"/>
  <c r="K34" i="1" s="1"/>
  <c r="W18" i="1"/>
  <c r="W17" i="1" s="1"/>
  <c r="W34" i="1" s="1"/>
  <c r="M22" i="1"/>
  <c r="M17" i="1" s="1"/>
  <c r="M34" i="1" s="1"/>
  <c r="Y22" i="1"/>
  <c r="Z22" i="1" s="1"/>
  <c r="AB22" i="1" l="1"/>
  <c r="Z18" i="1"/>
  <c r="AB18" i="1" s="1"/>
  <c r="Y17" i="1"/>
  <c r="Y34" i="1" s="1"/>
  <c r="Z17" i="1" l="1"/>
  <c r="AB17" i="1" l="1"/>
  <c r="AB34" i="1" s="1"/>
  <c r="Z34" i="1"/>
</calcChain>
</file>

<file path=xl/sharedStrings.xml><?xml version="1.0" encoding="utf-8"?>
<sst xmlns="http://schemas.openxmlformats.org/spreadsheetml/2006/main" count="75" uniqueCount="74">
  <si>
    <t>Tabela 1.3 - Demonstrativo da Despesa com Pessoal - Defensoria Pública</t>
  </si>
  <si>
    <t>DEFENSORIA PÚBLICA DO ESTADO DO PARANÁ</t>
  </si>
  <si>
    <t>RELATÓRIO DE GESTÃO FISCAL</t>
  </si>
  <si>
    <t xml:space="preserve">DEMONSTRATIVO DA DESPESA COM PESSOAL </t>
  </si>
  <si>
    <t>ORÇAMENTOS FISCAL E DA SEGURIDADE SOCIAL</t>
  </si>
  <si>
    <t>RGF - ANEXO 1 (Portaria STN nº 72/2012, art. 11, I)</t>
  </si>
  <si>
    <t>DESPESA COM PESSOAL</t>
  </si>
  <si>
    <t>INSCRITAS EM</t>
  </si>
  <si>
    <t>TOTAL</t>
  </si>
  <si>
    <t>01/2022</t>
  </si>
  <si>
    <t>02/2022</t>
  </si>
  <si>
    <t>03/2022</t>
  </si>
  <si>
    <t>04/2022</t>
  </si>
  <si>
    <t>05/2022</t>
  </si>
  <si>
    <t>06/2022</t>
  </si>
  <si>
    <t>07/2022</t>
  </si>
  <si>
    <t>08/2022</t>
  </si>
  <si>
    <t>09/2022</t>
  </si>
  <si>
    <t>10/2022</t>
  </si>
  <si>
    <t>11/2022</t>
  </si>
  <si>
    <t>12/2022</t>
  </si>
  <si>
    <t>05/2023</t>
  </si>
  <si>
    <t>06/2023</t>
  </si>
  <si>
    <t>07/2023</t>
  </si>
  <si>
    <t>08/2023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</si>
  <si>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</si>
  <si>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</si>
  <si>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</si>
  <si>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</si>
  <si>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</si>
  <si>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</si>
  <si>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</si>
  <si>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(c = a + 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</si>
  <si>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</si>
  <si>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</si>
  <si>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</si>
  <si>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</si>
  <si>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  Benefícios Previdenciários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</si>
  <si>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</si>
  <si>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</si>
  <si>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</si>
  <si>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  Outros Benefícios Previdenciários</t>
  </si>
  <si>
    <t xml:space="preserve">    Outras despesas de pessoal decorrentes de contratos de terceirização ou de contratação de forma indireta (§ 1º do art. 18 da LRF)</t>
  </si>
  <si>
    <t>Despesa com Pessoal não Executada Orçamentariamente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</si>
  <si>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</si>
  <si>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</si>
  <si>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</si>
  <si>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</si>
  <si>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</si>
  <si>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</si>
  <si>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2. Não existiu em 2020  Restos a Pagar não Processados referente à Despesa com Pessoal.</t>
  </si>
  <si>
    <t>Juliana Bitencourt Fernandes dos Santos</t>
  </si>
  <si>
    <t>André Ribeiro Giamberardino</t>
  </si>
  <si>
    <t>Departamento Financeiro</t>
  </si>
  <si>
    <t>Controle Interno</t>
  </si>
  <si>
    <t>Defensor Público-Geral do Estado do Paraná</t>
  </si>
  <si>
    <t>Edione Bernardino</t>
  </si>
  <si>
    <t>09/2023</t>
  </si>
  <si>
    <t>10/2023</t>
  </si>
  <si>
    <t>11/2023</t>
  </si>
  <si>
    <t>12/2023</t>
  </si>
  <si>
    <t>01/2024</t>
  </si>
  <si>
    <t>02/2024</t>
  </si>
  <si>
    <t>03/2024</t>
  </si>
  <si>
    <t>04/2024</t>
  </si>
  <si>
    <t>Maio/2023 a Abril/2024</t>
  </si>
  <si>
    <t>FONTE: Departamento Financeiro da DPE/PR / Sistema NOVO SIAF e SIAFIC</t>
  </si>
  <si>
    <t>Contadora Registro CRC-PR-062462/O-1</t>
  </si>
  <si>
    <t>1. Despesas executadas na UG 070000 - Defensoria Pública do Estado do Paraná e UG 0760000 - Fundo da Defensoria Pública do Estado do Paraná.</t>
  </si>
  <si>
    <t>Outras Deduções Constitucionais ou Legais</t>
  </si>
  <si>
    <t>2. Despesas com Pessoal Inativos e Pensionistas referem-se aos valores de Inativos e Pensionistas do órgão com recursos repassados aos Fundos Previdenciário e Financeiro, conf.  Decreto Estadual n° 7.555/2013, que regulamentou a Lei Estadual n° 17.435/2012, em decorrência de alteração do procedimento por parte do Poder Executivo  (Secretaria da Fazenda), a partir de março/2020.</t>
  </si>
  <si>
    <t>4. Em Indenizações por Demissão e Incentivos à Demissão Voluntária estão considerados as indenizações pagas a servidores exonerados a pedido e de ofício.</t>
  </si>
  <si>
    <t>Curitiba, 10 maio de 2024.</t>
  </si>
  <si>
    <r>
      <t>3. Os valores em Despesas Não Computadas com Inativos e Pensionistas com Recursos Vinculados foram informados conforme escriturados no sistema orçamentário/financeiro pelo RPPS. Conforme prevê o MDF,</t>
    </r>
    <r>
      <rPr>
        <i/>
        <sz val="7"/>
        <rFont val="Arial"/>
        <family val="2"/>
      </rPr>
      <t xml:space="preserve"> </t>
    </r>
    <r>
      <rPr>
        <b/>
        <i/>
        <sz val="7"/>
        <rFont val="Arial"/>
        <family val="2"/>
      </rPr>
      <t>"O RPPS deverá manter registros destacados das receitas e despesas de cada</t>
    </r>
    <r>
      <rPr>
        <sz val="7"/>
        <rFont val="Arial"/>
        <family val="2"/>
      </rPr>
      <t xml:space="preserve"> </t>
    </r>
    <r>
      <rPr>
        <b/>
        <i/>
        <sz val="7"/>
        <rFont val="Arial"/>
        <family val="2"/>
      </rPr>
      <t>um dos Poderes e fornececer as informações necessárias que possibilitem ao respectivo Poder ou Órgão utilizar tais informações para fins de elaboração do RGF"</t>
    </r>
    <r>
      <rPr>
        <sz val="7"/>
        <rFont val="Arial"/>
        <family val="2"/>
      </rPr>
      <t>. Divergências de regras de configuração identificadas após o fechamento contábil do quadrimestre serão corrigidas no próximo período.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</si>
</sst>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&quot;R$ &quot;#,##0.00_);[Red]&quot;(R$ &quot;#,##0.00\)"/>
  </numFmts>
  <fonts count="12" x14ac:knownFonts="1">
    <font>
      <sz val="10"/>
      <name val="Arial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7"/>
      <name val="Arial"/>
      <family val="2"/>
      <charset val="1"/>
    </font>
    <font>
      <b/>
      <sz val="7"/>
      <name val="Arial"/>
      <family val="2"/>
      <charset val="1"/>
    </font>
    <font>
      <sz val="7"/>
      <color rgb="FFFF0000"/>
      <name val="Arial"/>
      <family val="2"/>
      <charset val="1"/>
    </font>
    <font>
      <sz val="10"/>
      <name val="Arial"/>
      <family val="2"/>
    </font>
    <font>
      <sz val="8"/>
      <name val="Arial"/>
      <family val="2"/>
    </font>
    <font>
      <i/>
      <sz val="7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  <font>
      <b/>
      <i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64" fontId="6" fillId="0" borderId="0" applyBorder="0" applyProtection="0"/>
    <xf numFmtId="0" fontId="1" fillId="0" borderId="0"/>
    <xf numFmtId="0" fontId="2" fillId="0" borderId="0"/>
    <xf numFmtId="164" fontId="1" fillId="0" borderId="0" applyBorder="0" applyProtection="0"/>
    <xf numFmtId="164" fontId="2" fillId="0" borderId="0" applyBorder="0" applyProtection="0"/>
  </cellStyleXfs>
  <cellXfs count="7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164" fontId="3" fillId="0" borderId="0" xfId="1" applyFont="1" applyBorder="1" applyProtection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3" fillId="0" borderId="0" xfId="0" applyNumberFormat="1" applyFont="1" applyAlignment="1">
      <alignment horizontal="right"/>
    </xf>
    <xf numFmtId="0" fontId="4" fillId="2" borderId="1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49" fontId="4" fillId="2" borderId="1" xfId="2" applyNumberFormat="1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3" fillId="2" borderId="3" xfId="0" applyFont="1" applyFill="1" applyBorder="1"/>
    <xf numFmtId="49" fontId="4" fillId="2" borderId="7" xfId="2" applyNumberFormat="1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 vertical="top" wrapText="1"/>
    </xf>
    <xf numFmtId="0" fontId="4" fillId="2" borderId="3" xfId="2" applyFont="1" applyFill="1" applyBorder="1" applyAlignment="1">
      <alignment horizontal="center" vertical="top"/>
    </xf>
    <xf numFmtId="0" fontId="4" fillId="2" borderId="8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top" wrapText="1"/>
    </xf>
    <xf numFmtId="0" fontId="4" fillId="2" borderId="8" xfId="2" applyFont="1" applyFill="1" applyBorder="1" applyAlignment="1">
      <alignment horizontal="center" vertical="top" wrapText="1"/>
    </xf>
    <xf numFmtId="0" fontId="3" fillId="0" borderId="10" xfId="2" applyFont="1" applyBorder="1"/>
    <xf numFmtId="4" fontId="3" fillId="3" borderId="1" xfId="2" applyNumberFormat="1" applyFont="1" applyFill="1" applyBorder="1"/>
    <xf numFmtId="4" fontId="4" fillId="3" borderId="0" xfId="2" applyNumberFormat="1" applyFont="1" applyFill="1"/>
    <xf numFmtId="4" fontId="4" fillId="3" borderId="3" xfId="2" applyNumberFormat="1" applyFont="1" applyFill="1" applyBorder="1"/>
    <xf numFmtId="4" fontId="4" fillId="0" borderId="3" xfId="0" applyNumberFormat="1" applyFont="1" applyBorder="1"/>
    <xf numFmtId="0" fontId="3" fillId="0" borderId="10" xfId="2" applyFont="1" applyBorder="1" applyAlignment="1">
      <alignment horizontal="left"/>
    </xf>
    <xf numFmtId="4" fontId="3" fillId="3" borderId="10" xfId="2" applyNumberFormat="1" applyFont="1" applyFill="1" applyBorder="1"/>
    <xf numFmtId="4" fontId="3" fillId="3" borderId="3" xfId="2" applyNumberFormat="1" applyFont="1" applyFill="1" applyBorder="1"/>
    <xf numFmtId="4" fontId="4" fillId="3" borderId="7" xfId="2" applyNumberFormat="1" applyFont="1" applyFill="1" applyBorder="1"/>
    <xf numFmtId="4" fontId="5" fillId="0" borderId="3" xfId="2" applyNumberFormat="1" applyFont="1" applyBorder="1"/>
    <xf numFmtId="0" fontId="3" fillId="0" borderId="3" xfId="2" applyFont="1" applyBorder="1"/>
    <xf numFmtId="0" fontId="3" fillId="0" borderId="0" xfId="2" applyFont="1"/>
    <xf numFmtId="164" fontId="5" fillId="0" borderId="0" xfId="1" applyFont="1" applyBorder="1" applyProtection="1"/>
    <xf numFmtId="0" fontId="3" fillId="3" borderId="10" xfId="2" applyFont="1" applyFill="1" applyBorder="1" applyAlignment="1">
      <alignment horizontal="left"/>
    </xf>
    <xf numFmtId="164" fontId="3" fillId="3" borderId="3" xfId="1" applyFont="1" applyFill="1" applyBorder="1" applyProtection="1"/>
    <xf numFmtId="0" fontId="5" fillId="0" borderId="0" xfId="0" applyFont="1"/>
    <xf numFmtId="4" fontId="3" fillId="3" borderId="0" xfId="2" applyNumberFormat="1" applyFont="1" applyFill="1"/>
    <xf numFmtId="0" fontId="3" fillId="3" borderId="3" xfId="0" applyFont="1" applyFill="1" applyBorder="1"/>
    <xf numFmtId="0" fontId="3" fillId="0" borderId="10" xfId="2" applyFont="1" applyBorder="1" applyAlignment="1">
      <alignment horizontal="left" wrapText="1"/>
    </xf>
    <xf numFmtId="0" fontId="3" fillId="0" borderId="3" xfId="0" applyFont="1" applyBorder="1"/>
    <xf numFmtId="164" fontId="3" fillId="0" borderId="0" xfId="0" applyNumberFormat="1" applyFont="1"/>
    <xf numFmtId="164" fontId="3" fillId="0" borderId="0" xfId="1" applyFont="1" applyBorder="1" applyAlignment="1" applyProtection="1">
      <alignment horizontal="right"/>
    </xf>
    <xf numFmtId="0" fontId="3" fillId="0" borderId="3" xfId="2" applyFont="1" applyBorder="1" applyAlignment="1">
      <alignment horizontal="left" indent="1"/>
    </xf>
    <xf numFmtId="0" fontId="3" fillId="0" borderId="10" xfId="2" applyFont="1" applyBorder="1" applyAlignment="1">
      <alignment horizontal="left" indent="1"/>
    </xf>
    <xf numFmtId="0" fontId="4" fillId="0" borderId="3" xfId="0" applyFont="1" applyBorder="1"/>
    <xf numFmtId="4" fontId="3" fillId="0" borderId="0" xfId="0" applyNumberFormat="1" applyFont="1"/>
    <xf numFmtId="0" fontId="3" fillId="0" borderId="4" xfId="2" applyFont="1" applyBorder="1" applyAlignment="1">
      <alignment horizontal="left" indent="1"/>
    </xf>
    <xf numFmtId="4" fontId="3" fillId="3" borderId="4" xfId="2" applyNumberFormat="1" applyFont="1" applyFill="1" applyBorder="1"/>
    <xf numFmtId="4" fontId="3" fillId="3" borderId="8" xfId="2" applyNumberFormat="1" applyFont="1" applyFill="1" applyBorder="1"/>
    <xf numFmtId="164" fontId="3" fillId="3" borderId="8" xfId="1" applyFont="1" applyFill="1" applyBorder="1" applyProtection="1"/>
    <xf numFmtId="4" fontId="4" fillId="0" borderId="8" xfId="0" applyNumberFormat="1" applyFont="1" applyBorder="1"/>
    <xf numFmtId="0" fontId="3" fillId="2" borderId="4" xfId="2" applyFont="1" applyFill="1" applyBorder="1"/>
    <xf numFmtId="4" fontId="4" fillId="2" borderId="8" xfId="2" applyNumberFormat="1" applyFont="1" applyFill="1" applyBorder="1"/>
    <xf numFmtId="4" fontId="4" fillId="2" borderId="5" xfId="2" applyNumberFormat="1" applyFont="1" applyFill="1" applyBorder="1"/>
    <xf numFmtId="4" fontId="4" fillId="2" borderId="11" xfId="2" applyNumberFormat="1" applyFont="1" applyFill="1" applyBorder="1"/>
    <xf numFmtId="0" fontId="3" fillId="3" borderId="0" xfId="0" applyFont="1" applyFill="1"/>
    <xf numFmtId="4" fontId="4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left"/>
    </xf>
    <xf numFmtId="4" fontId="4" fillId="4" borderId="3" xfId="2" applyNumberFormat="1" applyFont="1" applyFill="1" applyBorder="1"/>
    <xf numFmtId="4" fontId="4" fillId="3" borderId="13" xfId="2" applyNumberFormat="1" applyFont="1" applyFill="1" applyBorder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4" fillId="2" borderId="5" xfId="2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9" fillId="0" borderId="12" xfId="0" applyFont="1" applyBorder="1" applyAlignment="1">
      <alignment horizontal="left" wrapText="1"/>
    </xf>
    <xf numFmtId="4" fontId="10" fillId="0" borderId="0" xfId="0" applyNumberFormat="1" applyFont="1"/>
    <xf numFmtId="0" fontId="9" fillId="0" borderId="0" xfId="0" applyFont="1"/>
    <xf numFmtId="164" fontId="9" fillId="0" borderId="0" xfId="1" applyFont="1" applyBorder="1" applyProtection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justify" vertical="justify" wrapText="1"/>
    </xf>
  </cellXfs>
  <cellStyles count="6">
    <cellStyle name="Normal" xfId="0" builtinId="0"/>
    <cellStyle name="Normal 2" xfId="2" xr:uid="{00000000-0005-0000-0000-000001000000}"/>
    <cellStyle name="Normal 3" xfId="3" xr:uid="{00000000-0005-0000-0000-000002000000}"/>
    <cellStyle name="Vírgula" xfId="1" builtinId="3"/>
    <cellStyle name="Vírgula 2" xfId="4" xr:uid="{00000000-0005-0000-0000-000004000000}"/>
    <cellStyle name="Vírgula 3" xfId="5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94A48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U49"/>
  <sheetViews>
    <sheetView showGridLines="0" tabSelected="1" zoomScale="109" zoomScaleNormal="109" workbookViewId="0">
      <selection activeCell="Z32" sqref="Z32:AB32"/>
    </sheetView>
  </sheetViews>
  <sheetFormatPr defaultColWidth="9.140625" defaultRowHeight="12.75" x14ac:dyDescent="0.2"/>
  <cols>
    <col min="1" max="1" width="68.7109375" style="3" customWidth="1"/>
    <col min="2" max="5" width="8.7109375" style="3" hidden="1" customWidth="1"/>
    <col min="6" max="13" width="9.42578125" style="3" hidden="1" customWidth="1"/>
    <col min="14" max="20" width="9.42578125" style="3" customWidth="1"/>
    <col min="21" max="25" width="11.28515625" style="3" customWidth="1"/>
    <col min="26" max="26" width="10.7109375" style="3" bestFit="1" customWidth="1"/>
    <col min="27" max="27" width="12.5703125" style="3" customWidth="1"/>
    <col min="28" max="28" width="10.7109375" style="3" bestFit="1" customWidth="1"/>
    <col min="29" max="29" width="1.85546875" style="3" customWidth="1"/>
    <col min="30" max="30" width="14.140625" style="4" customWidth="1"/>
    <col min="31" max="36" width="14.140625" style="3" customWidth="1"/>
    <col min="37" max="1035" width="9.140625" style="3"/>
  </cols>
  <sheetData>
    <row r="1" spans="1:28" x14ac:dyDescent="0.2">
      <c r="A1" s="5" t="s">
        <v>0</v>
      </c>
    </row>
    <row r="2" spans="1:28" x14ac:dyDescent="0.2">
      <c r="A2" s="5"/>
    </row>
    <row r="3" spans="1:28" x14ac:dyDescent="0.2">
      <c r="A3" s="6" t="s">
        <v>1</v>
      </c>
    </row>
    <row r="4" spans="1:28" x14ac:dyDescent="0.2">
      <c r="A4" s="6" t="s">
        <v>2</v>
      </c>
    </row>
    <row r="5" spans="1:28" x14ac:dyDescent="0.2">
      <c r="A5" s="7" t="s">
        <v>3</v>
      </c>
    </row>
    <row r="6" spans="1:28" x14ac:dyDescent="0.2">
      <c r="A6" s="6" t="s">
        <v>4</v>
      </c>
    </row>
    <row r="7" spans="1:28" x14ac:dyDescent="0.2">
      <c r="A7" s="60" t="s">
        <v>65</v>
      </c>
    </row>
    <row r="9" spans="1:28" x14ac:dyDescent="0.2">
      <c r="A9" s="3" t="s">
        <v>5</v>
      </c>
      <c r="AB9" s="8">
        <v>1</v>
      </c>
    </row>
    <row r="10" spans="1:28" x14ac:dyDescent="0.2">
      <c r="A10" s="9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</row>
    <row r="11" spans="1:28" x14ac:dyDescent="0.2">
      <c r="A11" s="10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</row>
    <row r="12" spans="1:28" x14ac:dyDescent="0.2">
      <c r="A12" s="10" t="s">
        <v>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11" t="s">
        <v>7</v>
      </c>
      <c r="AB12" s="12" t="s">
        <v>8</v>
      </c>
    </row>
    <row r="13" spans="1:28" ht="12.75" customHeight="1" x14ac:dyDescent="0.2">
      <c r="A13" s="10"/>
      <c r="B13" s="66" t="s">
        <v>9</v>
      </c>
      <c r="C13" s="66" t="s">
        <v>10</v>
      </c>
      <c r="D13" s="66" t="s">
        <v>11</v>
      </c>
      <c r="E13" s="66" t="s">
        <v>12</v>
      </c>
      <c r="F13" s="66" t="s">
        <v>13</v>
      </c>
      <c r="G13" s="66" t="s">
        <v>14</v>
      </c>
      <c r="H13" s="66" t="s">
        <v>15</v>
      </c>
      <c r="I13" s="66" t="s">
        <v>16</v>
      </c>
      <c r="J13" s="66" t="s">
        <v>17</v>
      </c>
      <c r="K13" s="66" t="s">
        <v>18</v>
      </c>
      <c r="L13" s="66" t="s">
        <v>19</v>
      </c>
      <c r="M13" s="66" t="s">
        <v>20</v>
      </c>
      <c r="N13" s="66" t="s">
        <v>21</v>
      </c>
      <c r="O13" s="66" t="s">
        <v>22</v>
      </c>
      <c r="P13" s="66" t="s">
        <v>23</v>
      </c>
      <c r="Q13" s="66" t="s">
        <v>24</v>
      </c>
      <c r="R13" s="66" t="s">
        <v>57</v>
      </c>
      <c r="S13" s="66" t="s">
        <v>58</v>
      </c>
      <c r="T13" s="66" t="s">
        <v>59</v>
      </c>
      <c r="U13" s="66" t="s">
        <v>60</v>
      </c>
      <c r="V13" s="66" t="s">
        <v>61</v>
      </c>
      <c r="W13" s="66" t="s">
        <v>62</v>
      </c>
      <c r="X13" s="66" t="s">
        <v>63</v>
      </c>
      <c r="Y13" s="66" t="s">
        <v>64</v>
      </c>
      <c r="Z13" s="13" t="s">
        <v>8</v>
      </c>
      <c r="AA13" s="14" t="s">
        <v>25</v>
      </c>
      <c r="AB13" s="15"/>
    </row>
    <row r="14" spans="1:28" x14ac:dyDescent="0.2">
      <c r="A14" s="10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16" t="s">
        <v>26</v>
      </c>
      <c r="AA14" s="14" t="s">
        <v>27</v>
      </c>
      <c r="AB14" s="17"/>
    </row>
    <row r="15" spans="1:28" x14ac:dyDescent="0.2">
      <c r="A15" s="10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16" t="s">
        <v>28</v>
      </c>
      <c r="AA15" s="18" t="s">
        <v>29</v>
      </c>
      <c r="AB15" s="19"/>
    </row>
    <row r="16" spans="1:28" x14ac:dyDescent="0.2">
      <c r="A16" s="20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21" t="s">
        <v>30</v>
      </c>
      <c r="AA16" s="21" t="s">
        <v>31</v>
      </c>
      <c r="AB16" s="22" t="s">
        <v>32</v>
      </c>
    </row>
    <row r="17" spans="1:33" x14ac:dyDescent="0.2">
      <c r="A17" s="23" t="s">
        <v>33</v>
      </c>
      <c r="B17" s="24">
        <f t="shared" ref="B17:X17" si="0">B18+B22+B26</f>
        <v>5850761.0999999996</v>
      </c>
      <c r="C17" s="24">
        <f t="shared" si="0"/>
        <v>6003850.5300000003</v>
      </c>
      <c r="D17" s="24">
        <f t="shared" si="0"/>
        <v>6174646.7499999991</v>
      </c>
      <c r="E17" s="24">
        <f t="shared" si="0"/>
        <v>6706915.0099999998</v>
      </c>
      <c r="F17" s="24">
        <f t="shared" si="0"/>
        <v>6302428.9399999995</v>
      </c>
      <c r="G17" s="24">
        <f t="shared" si="0"/>
        <v>6288482.1200000001</v>
      </c>
      <c r="H17" s="24">
        <f t="shared" si="0"/>
        <v>6442981.5499999989</v>
      </c>
      <c r="I17" s="24">
        <f t="shared" si="0"/>
        <v>6433385.1500000004</v>
      </c>
      <c r="J17" s="24">
        <f t="shared" si="0"/>
        <v>6504630.4299999997</v>
      </c>
      <c r="K17" s="24">
        <f t="shared" si="0"/>
        <v>6598644.9299999997</v>
      </c>
      <c r="L17" s="24">
        <f t="shared" si="0"/>
        <v>6843540.3099999996</v>
      </c>
      <c r="M17" s="24">
        <f t="shared" si="0"/>
        <v>6489397.0199999996</v>
      </c>
      <c r="N17" s="24">
        <f t="shared" ref="N17:T17" si="1">N18+N22+N26</f>
        <v>8440112.9700000007</v>
      </c>
      <c r="O17" s="24">
        <f t="shared" si="1"/>
        <v>8579500.0900000017</v>
      </c>
      <c r="P17" s="24">
        <f t="shared" si="1"/>
        <v>8552022.4200000018</v>
      </c>
      <c r="Q17" s="24">
        <f t="shared" si="1"/>
        <v>8766068.4900000021</v>
      </c>
      <c r="R17" s="24">
        <f t="shared" si="1"/>
        <v>8758028.9000000022</v>
      </c>
      <c r="S17" s="24">
        <f t="shared" si="1"/>
        <v>8994244.8699999992</v>
      </c>
      <c r="T17" s="24">
        <f t="shared" si="1"/>
        <v>9819633.4800000004</v>
      </c>
      <c r="U17" s="24">
        <f>U18+U22+U26</f>
        <v>10336112.100000001</v>
      </c>
      <c r="V17" s="24">
        <f>V18+V22+V26</f>
        <v>10164044.5</v>
      </c>
      <c r="W17" s="24">
        <f t="shared" si="0"/>
        <v>10234559.509999998</v>
      </c>
      <c r="X17" s="24">
        <f t="shared" si="0"/>
        <v>10532093.24</v>
      </c>
      <c r="Y17" s="24">
        <f>Y18+Y22+Y26</f>
        <v>10357648.420000002</v>
      </c>
      <c r="Z17" s="25">
        <f>SUM(N17:Y17)</f>
        <v>113534068.98999998</v>
      </c>
      <c r="AA17" s="26">
        <f>AA18+AA22+AA26</f>
        <v>1610214.23</v>
      </c>
      <c r="AB17" s="27">
        <f>Z17+AA17</f>
        <v>115144283.21999998</v>
      </c>
    </row>
    <row r="18" spans="1:33" x14ac:dyDescent="0.2">
      <c r="A18" s="28" t="s">
        <v>34</v>
      </c>
      <c r="B18" s="29">
        <f t="shared" ref="B18:Y18" si="2">B19+B20</f>
        <v>5695447.54</v>
      </c>
      <c r="C18" s="29">
        <f t="shared" si="2"/>
        <v>5848536.9700000007</v>
      </c>
      <c r="D18" s="29">
        <f t="shared" si="2"/>
        <v>6019333.1899999995</v>
      </c>
      <c r="E18" s="29">
        <f t="shared" si="2"/>
        <v>6541893.1299999999</v>
      </c>
      <c r="F18" s="29">
        <f t="shared" si="2"/>
        <v>6144688.2999999998</v>
      </c>
      <c r="G18" s="29">
        <f t="shared" si="2"/>
        <v>6130741.4800000004</v>
      </c>
      <c r="H18" s="29">
        <f t="shared" si="2"/>
        <v>6285240.9099999992</v>
      </c>
      <c r="I18" s="29">
        <f t="shared" si="2"/>
        <v>6271663.3799999999</v>
      </c>
      <c r="J18" s="29">
        <f t="shared" si="2"/>
        <v>6329431.8399999999</v>
      </c>
      <c r="K18" s="29">
        <f t="shared" si="2"/>
        <v>6423446.3399999999</v>
      </c>
      <c r="L18" s="29">
        <f t="shared" si="2"/>
        <v>6814264.3799999999</v>
      </c>
      <c r="M18" s="29">
        <f t="shared" si="2"/>
        <v>6157726.9399999995</v>
      </c>
      <c r="N18" s="30">
        <f t="shared" ref="N18:U18" si="3">N19+N20</f>
        <v>8260458.3399999999</v>
      </c>
      <c r="O18" s="30">
        <f t="shared" si="3"/>
        <v>8399845.4600000009</v>
      </c>
      <c r="P18" s="30">
        <f t="shared" si="3"/>
        <v>8372367.790000001</v>
      </c>
      <c r="Q18" s="30">
        <f t="shared" si="3"/>
        <v>8586413.8600000013</v>
      </c>
      <c r="R18" s="30">
        <f t="shared" si="3"/>
        <v>8578374.2700000014</v>
      </c>
      <c r="S18" s="30">
        <f t="shared" si="3"/>
        <v>8784650.4199999999</v>
      </c>
      <c r="T18" s="30">
        <f t="shared" si="3"/>
        <v>9529828.8100000005</v>
      </c>
      <c r="U18" s="30">
        <f t="shared" si="3"/>
        <v>9995165.9500000011</v>
      </c>
      <c r="V18" s="30">
        <f t="shared" si="2"/>
        <v>9898079.3800000008</v>
      </c>
      <c r="W18" s="30">
        <f t="shared" si="2"/>
        <v>9968594.3899999987</v>
      </c>
      <c r="X18" s="30">
        <f t="shared" si="2"/>
        <v>10228538.17</v>
      </c>
      <c r="Y18" s="30">
        <f t="shared" si="2"/>
        <v>10051057.120000001</v>
      </c>
      <c r="Z18" s="31">
        <f>SUM(N18:Y18)</f>
        <v>110653373.96000001</v>
      </c>
      <c r="AA18" s="26">
        <f>AA19+AA20</f>
        <v>1610214.23</v>
      </c>
      <c r="AB18" s="27">
        <f>Z18+AA18</f>
        <v>112263588.19000001</v>
      </c>
    </row>
    <row r="19" spans="1:33" x14ac:dyDescent="0.2">
      <c r="A19" s="28" t="s">
        <v>35</v>
      </c>
      <c r="B19" s="29">
        <f>3711871.73+625750.77+447350.62+52614.81+76989.37+28282.96</f>
        <v>4942860.26</v>
      </c>
      <c r="C19" s="29">
        <f>3809541.48+623793.42+592534.57+55099.38+2111.46+293.6</f>
        <v>5083373.91</v>
      </c>
      <c r="D19" s="29">
        <f>3607222.44+623793.42+892534.56+55099.38+11845.88+42161.37</f>
        <v>5232657.05</v>
      </c>
      <c r="E19" s="29">
        <f>3460503.06+684686.88+1445866.72+55099.38+23489.95</f>
        <v>5669645.9900000002</v>
      </c>
      <c r="F19" s="29">
        <f>3855732.86+635191.4+771091.79+53890.69+10009.85</f>
        <v>5325916.59</v>
      </c>
      <c r="G19" s="29">
        <f>3746187.44+635191.4+850093.88+53890.69+20388.98+7496.83</f>
        <v>5313249.2200000007</v>
      </c>
      <c r="H19" s="29">
        <f>971091.79+53890.69+3716943.7+630456.19+93901.8+1442.92</f>
        <v>5467727.0899999989</v>
      </c>
      <c r="I19" s="29">
        <f>1189726.22+53605.37+3543868.38+649057.92+8758.5+226.33</f>
        <v>5445242.7199999997</v>
      </c>
      <c r="J19" s="29">
        <f>1195571.38+53434.4+3585675.23+649057.92+2714.76</f>
        <v>5486453.6899999995</v>
      </c>
      <c r="K19" s="29">
        <f>3892907.38+468020.68+978748.34+234751.9+1767.04</f>
        <v>5576195.3399999999</v>
      </c>
      <c r="L19" s="29">
        <f>4293617.49+22151.39+758976.76+7688.4</f>
        <v>5082434.04</v>
      </c>
      <c r="M19" s="29">
        <f>479588.11+678068.16+4155617.32+42006.51</f>
        <v>5355280.0999999996</v>
      </c>
      <c r="N19" s="30">
        <f>3119608.81+966818.99+3004504.03+77591.51+3527.44</f>
        <v>7172050.7800000003</v>
      </c>
      <c r="O19" s="30">
        <f>5627749.54+1048334.82+560569.07+6052.84+46338.09+19346.46</f>
        <v>7308390.8200000003</v>
      </c>
      <c r="P19" s="30">
        <f>5634393.34+1073150.49+560569.07+12385.86+3347.13</f>
        <v>7283845.8900000006</v>
      </c>
      <c r="Q19" s="30">
        <f>SUM(5683463.29+1047198.52+719993.29+12385.86)+14660.9</f>
        <v>7477701.8600000013</v>
      </c>
      <c r="R19" s="30">
        <f>SUM(5712879.67+1033539.98+13102.99+719993.28)</f>
        <v>7479515.9200000009</v>
      </c>
      <c r="S19" s="30">
        <f>SUM(5833594.75+1041007.03+13102.99+770100.95)+35046.76</f>
        <v>7692852.4800000004</v>
      </c>
      <c r="T19" s="30">
        <f>SUM(7380530.58+4052.03+13102.99+714844.78)+13366.8+32799.46</f>
        <v>8158696.6400000006</v>
      </c>
      <c r="U19" s="30">
        <f>SUM(14090927.19+417572.81+13102.99-6744627.18-388018.06)+20355.84+3195.03</f>
        <v>7412508.620000001</v>
      </c>
      <c r="V19" s="30">
        <v>8396232.2300000004</v>
      </c>
      <c r="W19" s="30">
        <v>8422822.9299999978</v>
      </c>
      <c r="X19" s="30">
        <v>8699070.75</v>
      </c>
      <c r="Y19" s="30">
        <v>8472086.5000000019</v>
      </c>
      <c r="Z19" s="25">
        <f>SUM(N19:Y19)</f>
        <v>93975775.420000002</v>
      </c>
      <c r="AA19" s="61">
        <v>1497395.23</v>
      </c>
      <c r="AB19" s="27">
        <f>Z19+AA19</f>
        <v>95473170.650000006</v>
      </c>
      <c r="AE19" s="4"/>
      <c r="AF19" s="4"/>
    </row>
    <row r="20" spans="1:33" x14ac:dyDescent="0.2">
      <c r="A20" s="28" t="s">
        <v>36</v>
      </c>
      <c r="B20" s="29">
        <f>45735.57+706851.71</f>
        <v>752587.27999999991</v>
      </c>
      <c r="C20" s="29">
        <f>60224.41+704938.65</f>
        <v>765163.06</v>
      </c>
      <c r="D20" s="29">
        <f>80763.2+705912.94</f>
        <v>786676.1399999999</v>
      </c>
      <c r="E20" s="29">
        <f>93858.12+778389.02</f>
        <v>872247.14</v>
      </c>
      <c r="F20" s="29">
        <f>90158.68+728613.03</f>
        <v>818771.71</v>
      </c>
      <c r="G20" s="29">
        <f>89025.19+728467.07</f>
        <v>817492.26</v>
      </c>
      <c r="H20" s="29">
        <f>87876+729637.82</f>
        <v>817513.82</v>
      </c>
      <c r="I20" s="29">
        <f>76709.6+749711.06</f>
        <v>826420.66</v>
      </c>
      <c r="J20" s="29">
        <f>92080.16+750897.99</f>
        <v>842978.15</v>
      </c>
      <c r="K20" s="29">
        <f>94119.5 +753131.5</f>
        <v>847251</v>
      </c>
      <c r="L20" s="29">
        <f>95980+759616.43+81000+795233.91</f>
        <v>1731830.34</v>
      </c>
      <c r="M20" s="29">
        <f>-125.85-1270.8+803843.49</f>
        <v>802446.84</v>
      </c>
      <c r="N20" s="30">
        <f>SUM(111272.57+977134.99)</f>
        <v>1088407.56</v>
      </c>
      <c r="O20" s="30">
        <f>SUM(109998.55+981456.09)</f>
        <v>1091454.6399999999</v>
      </c>
      <c r="P20" s="30">
        <f>109923.87+978598.03</f>
        <v>1088521.8999999999</v>
      </c>
      <c r="Q20" s="30">
        <f>114317.11+994394.89</f>
        <v>1108712</v>
      </c>
      <c r="R20" s="30">
        <f>SUM(110969.12+987889.23)</f>
        <v>1098858.3500000001</v>
      </c>
      <c r="S20" s="30">
        <f>SUM(981037.69-39.75+110800)</f>
        <v>1091797.94</v>
      </c>
      <c r="T20" s="30">
        <f>SUM(110990+1260255.91-113.74)</f>
        <v>1371132.17</v>
      </c>
      <c r="U20" s="30">
        <f>SUM(99952.45+2480607.37+2097.51)</f>
        <v>2582657.33</v>
      </c>
      <c r="V20" s="30">
        <v>1501847.15</v>
      </c>
      <c r="W20" s="30">
        <v>1545771.4600000002</v>
      </c>
      <c r="X20" s="30">
        <v>1529467.4200000002</v>
      </c>
      <c r="Y20" s="30">
        <v>1578970.62</v>
      </c>
      <c r="Z20" s="25">
        <f>SUM(N20:Y20)</f>
        <v>16677598.539999999</v>
      </c>
      <c r="AA20" s="26">
        <v>112819</v>
      </c>
      <c r="AB20" s="27">
        <f>Z20+AA20</f>
        <v>16790417.539999999</v>
      </c>
      <c r="AE20" s="4"/>
      <c r="AF20" s="4"/>
    </row>
    <row r="21" spans="1:33" s="34" customFormat="1" ht="11.25" hidden="1" customHeight="1" x14ac:dyDescent="0.2">
      <c r="A21" s="28" t="s">
        <v>37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25">
        <f>SUM(B21:M21)</f>
        <v>0</v>
      </c>
      <c r="AA21" s="32"/>
      <c r="AB21" s="33"/>
      <c r="AD21" s="4"/>
      <c r="AE21" s="4"/>
      <c r="AF21" s="35"/>
    </row>
    <row r="22" spans="1:33" s="38" customFormat="1" ht="9.75" x14ac:dyDescent="0.2">
      <c r="A22" s="36" t="s">
        <v>38</v>
      </c>
      <c r="B22" s="29">
        <f t="shared" ref="B22:Y22" si="4">SUM(B23:B24)</f>
        <v>155313.56</v>
      </c>
      <c r="C22" s="29">
        <f t="shared" si="4"/>
        <v>155313.56</v>
      </c>
      <c r="D22" s="29">
        <f t="shared" si="4"/>
        <v>155313.56</v>
      </c>
      <c r="E22" s="29">
        <f t="shared" si="4"/>
        <v>165021.88</v>
      </c>
      <c r="F22" s="29">
        <f t="shared" si="4"/>
        <v>157740.64000000001</v>
      </c>
      <c r="G22" s="29">
        <f t="shared" si="4"/>
        <v>157740.64000000001</v>
      </c>
      <c r="H22" s="29">
        <f t="shared" si="4"/>
        <v>157740.64000000001</v>
      </c>
      <c r="I22" s="29">
        <f t="shared" si="4"/>
        <v>161721.77000000002</v>
      </c>
      <c r="J22" s="29">
        <f t="shared" si="4"/>
        <v>175198.59</v>
      </c>
      <c r="K22" s="29">
        <f t="shared" si="4"/>
        <v>175198.59</v>
      </c>
      <c r="L22" s="29">
        <f t="shared" si="4"/>
        <v>29275.93</v>
      </c>
      <c r="M22" s="29">
        <f t="shared" si="4"/>
        <v>331670.08</v>
      </c>
      <c r="N22" s="30">
        <f t="shared" ref="N22:U22" si="5">SUM(N23:N24)</f>
        <v>179654.63</v>
      </c>
      <c r="O22" s="30">
        <f t="shared" si="5"/>
        <v>179654.63</v>
      </c>
      <c r="P22" s="30">
        <f t="shared" si="5"/>
        <v>179654.63</v>
      </c>
      <c r="Q22" s="30">
        <f t="shared" si="5"/>
        <v>179654.63</v>
      </c>
      <c r="R22" s="30">
        <f t="shared" si="5"/>
        <v>179654.63</v>
      </c>
      <c r="S22" s="30">
        <f t="shared" si="5"/>
        <v>209594.44999999998</v>
      </c>
      <c r="T22" s="30">
        <f t="shared" si="5"/>
        <v>289804.67</v>
      </c>
      <c r="U22" s="30">
        <f t="shared" si="5"/>
        <v>340946.15</v>
      </c>
      <c r="V22" s="30">
        <f t="shared" si="4"/>
        <v>265965.12</v>
      </c>
      <c r="W22" s="30">
        <f t="shared" si="4"/>
        <v>265965.12</v>
      </c>
      <c r="X22" s="30">
        <f t="shared" si="4"/>
        <v>303555.07</v>
      </c>
      <c r="Y22" s="30">
        <f t="shared" si="4"/>
        <v>306591.3</v>
      </c>
      <c r="Z22" s="25">
        <f>SUM(N22:Y22)</f>
        <v>2880695.03</v>
      </c>
      <c r="AA22" s="37">
        <v>0</v>
      </c>
      <c r="AB22" s="27">
        <f>Z22+AA22</f>
        <v>2880695.03</v>
      </c>
      <c r="AD22" s="35"/>
      <c r="AE22" s="35"/>
      <c r="AF22" s="35"/>
    </row>
    <row r="23" spans="1:33" s="38" customFormat="1" ht="9.75" x14ac:dyDescent="0.2">
      <c r="A23" s="36" t="s">
        <v>39</v>
      </c>
      <c r="B23" s="29">
        <v>139068.10999999999</v>
      </c>
      <c r="C23" s="29">
        <v>139068.10999999999</v>
      </c>
      <c r="D23" s="29">
        <v>139068.10999999999</v>
      </c>
      <c r="E23" s="29">
        <v>148776.43</v>
      </c>
      <c r="F23" s="29">
        <v>141495.19</v>
      </c>
      <c r="G23" s="29">
        <v>141495.19</v>
      </c>
      <c r="H23" s="29">
        <v>141495.19</v>
      </c>
      <c r="I23" s="29">
        <v>145476.32</v>
      </c>
      <c r="J23" s="29">
        <v>157599.35</v>
      </c>
      <c r="K23" s="29">
        <v>157599.35</v>
      </c>
      <c r="L23" s="29">
        <v>26568.38</v>
      </c>
      <c r="M23" s="29">
        <f>149589.59*2</f>
        <v>299179.18</v>
      </c>
      <c r="N23" s="30">
        <v>162055.39000000001</v>
      </c>
      <c r="O23" s="30">
        <v>162055.39000000001</v>
      </c>
      <c r="P23" s="30">
        <v>162055.39000000001</v>
      </c>
      <c r="Q23" s="30">
        <v>162055.39000000001</v>
      </c>
      <c r="R23" s="30">
        <v>162055.39000000001</v>
      </c>
      <c r="S23" s="30">
        <v>191995.21</v>
      </c>
      <c r="T23" s="30">
        <v>272205.43</v>
      </c>
      <c r="U23" s="30">
        <v>323346.94</v>
      </c>
      <c r="V23" s="30">
        <v>249719.67</v>
      </c>
      <c r="W23" s="30">
        <v>249719.67</v>
      </c>
      <c r="X23" s="30">
        <v>287309.62</v>
      </c>
      <c r="Y23" s="30">
        <f>287309.62+3036.23</f>
        <v>290345.84999999998</v>
      </c>
      <c r="Z23" s="25">
        <f>SUM(N23:Y23)</f>
        <v>2674919.3400000003</v>
      </c>
      <c r="AA23" s="37">
        <v>0</v>
      </c>
      <c r="AB23" s="27">
        <f>Z23+AA23</f>
        <v>2674919.3400000003</v>
      </c>
      <c r="AD23" s="35"/>
      <c r="AE23" s="35"/>
      <c r="AF23" s="4"/>
    </row>
    <row r="24" spans="1:33" s="38" customFormat="1" ht="9.75" x14ac:dyDescent="0.2">
      <c r="A24" s="36" t="s">
        <v>40</v>
      </c>
      <c r="B24" s="29">
        <v>16245.45</v>
      </c>
      <c r="C24" s="29">
        <v>16245.45</v>
      </c>
      <c r="D24" s="29">
        <v>16245.45</v>
      </c>
      <c r="E24" s="29">
        <v>16245.45</v>
      </c>
      <c r="F24" s="29">
        <v>16245.45</v>
      </c>
      <c r="G24" s="29">
        <v>16245.45</v>
      </c>
      <c r="H24" s="29">
        <v>16245.45</v>
      </c>
      <c r="I24" s="29">
        <v>16245.45</v>
      </c>
      <c r="J24" s="29">
        <v>17599.240000000002</v>
      </c>
      <c r="K24" s="29">
        <v>17599.240000000002</v>
      </c>
      <c r="L24" s="29">
        <v>2707.55</v>
      </c>
      <c r="M24" s="29">
        <f>16245.45*2</f>
        <v>32490.9</v>
      </c>
      <c r="N24" s="30">
        <v>17599.240000000002</v>
      </c>
      <c r="O24" s="30">
        <v>17599.240000000002</v>
      </c>
      <c r="P24" s="30">
        <v>17599.240000000002</v>
      </c>
      <c r="Q24" s="30">
        <v>17599.240000000002</v>
      </c>
      <c r="R24" s="30">
        <v>17599.240000000002</v>
      </c>
      <c r="S24" s="30">
        <v>17599.240000000002</v>
      </c>
      <c r="T24" s="30">
        <v>17599.240000000002</v>
      </c>
      <c r="U24" s="30">
        <f>SUM(1353.76+16245.45)</f>
        <v>17599.21</v>
      </c>
      <c r="V24" s="30">
        <v>16245.45</v>
      </c>
      <c r="W24" s="30">
        <v>16245.45</v>
      </c>
      <c r="X24" s="30">
        <v>16245.45</v>
      </c>
      <c r="Y24" s="30">
        <v>16245.45</v>
      </c>
      <c r="Z24" s="25">
        <f>SUM(N24:Y24)</f>
        <v>205775.69000000006</v>
      </c>
      <c r="AA24" s="37">
        <v>0</v>
      </c>
      <c r="AB24" s="27">
        <f>Z24+AA24</f>
        <v>205775.69000000006</v>
      </c>
      <c r="AD24" s="35"/>
      <c r="AE24" s="35"/>
      <c r="AF24" s="4"/>
    </row>
    <row r="25" spans="1:33" hidden="1" x14ac:dyDescent="0.2">
      <c r="A25" s="36" t="s">
        <v>41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9"/>
      <c r="AA25" s="30"/>
      <c r="AB25" s="40"/>
      <c r="AE25" s="4"/>
      <c r="AF25" s="4"/>
    </row>
    <row r="26" spans="1:33" ht="19.5" x14ac:dyDescent="0.2">
      <c r="A26" s="41" t="s">
        <v>42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25"/>
      <c r="AA26" s="26"/>
      <c r="AB26" s="42"/>
      <c r="AE26" s="4"/>
      <c r="AF26" s="4"/>
    </row>
    <row r="27" spans="1:33" x14ac:dyDescent="0.2">
      <c r="A27" s="41" t="s">
        <v>43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9"/>
      <c r="AA27" s="32"/>
      <c r="AB27" s="42"/>
      <c r="AE27" s="4"/>
      <c r="AF27" s="43"/>
    </row>
    <row r="28" spans="1:33" x14ac:dyDescent="0.2">
      <c r="A28" s="23" t="s">
        <v>44</v>
      </c>
      <c r="B28" s="30">
        <f t="shared" ref="B28:Y28" si="6">SUM(B29:B32)</f>
        <v>158603.63</v>
      </c>
      <c r="C28" s="30">
        <f t="shared" si="6"/>
        <v>55736.36</v>
      </c>
      <c r="D28" s="30">
        <f t="shared" si="6"/>
        <v>107338.55</v>
      </c>
      <c r="E28" s="30">
        <f t="shared" si="6"/>
        <v>81918.25</v>
      </c>
      <c r="F28" s="30">
        <f t="shared" si="6"/>
        <v>64615.4</v>
      </c>
      <c r="G28" s="30">
        <f t="shared" si="6"/>
        <v>82491.360000000001</v>
      </c>
      <c r="H28" s="30">
        <f t="shared" si="6"/>
        <v>148507.35</v>
      </c>
      <c r="I28" s="30">
        <f t="shared" si="6"/>
        <v>65395.33</v>
      </c>
      <c r="J28" s="30">
        <f t="shared" si="6"/>
        <v>59125.26</v>
      </c>
      <c r="K28" s="30">
        <f t="shared" si="6"/>
        <v>58177.54</v>
      </c>
      <c r="L28" s="30">
        <f t="shared" si="6"/>
        <v>64098.9</v>
      </c>
      <c r="M28" s="30">
        <f t="shared" si="6"/>
        <v>116550.9</v>
      </c>
      <c r="N28" s="30">
        <f>SUM(N29:N32)</f>
        <v>61621.440000000002</v>
      </c>
      <c r="O28" s="30">
        <f>SUM(O29:O32)</f>
        <v>83493.3</v>
      </c>
      <c r="P28" s="30">
        <f t="shared" ref="P28:U28" si="7">SUM(P29:P32)</f>
        <v>61441.13</v>
      </c>
      <c r="Q28" s="30">
        <f t="shared" si="7"/>
        <v>72754.899999999994</v>
      </c>
      <c r="R28" s="30">
        <f t="shared" si="7"/>
        <v>58094</v>
      </c>
      <c r="S28" s="30">
        <f t="shared" si="7"/>
        <v>93553.64</v>
      </c>
      <c r="T28" s="30">
        <f t="shared" si="7"/>
        <v>92187.18</v>
      </c>
      <c r="U28" s="30">
        <f t="shared" si="7"/>
        <v>116605.64</v>
      </c>
      <c r="V28" s="30">
        <f>SUM(V29:V32)</f>
        <v>128227.73000000001</v>
      </c>
      <c r="W28" s="30">
        <f>SUM(W29:W32)</f>
        <v>162544.79999999999</v>
      </c>
      <c r="X28" s="30">
        <f t="shared" si="6"/>
        <v>785102.83000000007</v>
      </c>
      <c r="Y28" s="30">
        <f t="shared" si="6"/>
        <v>168187.44</v>
      </c>
      <c r="Z28" s="25">
        <f>SUM(N28:Y28)</f>
        <v>1883814.03</v>
      </c>
      <c r="AA28" s="37">
        <v>0</v>
      </c>
      <c r="AB28" s="27">
        <f>Z28+AA28</f>
        <v>1883814.03</v>
      </c>
      <c r="AE28" s="4"/>
      <c r="AF28" s="44"/>
      <c r="AG28" s="43"/>
    </row>
    <row r="29" spans="1:33" x14ac:dyDescent="0.2">
      <c r="A29" s="45" t="s">
        <v>45</v>
      </c>
      <c r="B29" s="29">
        <v>76989.37</v>
      </c>
      <c r="C29" s="29">
        <v>2111.46</v>
      </c>
      <c r="D29" s="29">
        <v>11845.88</v>
      </c>
      <c r="E29" s="29">
        <v>23489.95</v>
      </c>
      <c r="F29" s="30">
        <v>10009.85</v>
      </c>
      <c r="G29" s="30">
        <v>20388.98</v>
      </c>
      <c r="H29" s="30">
        <v>93901.8</v>
      </c>
      <c r="I29" s="30">
        <v>8758.5</v>
      </c>
      <c r="J29" s="30">
        <v>2714.76</v>
      </c>
      <c r="K29" s="30">
        <v>1767.04</v>
      </c>
      <c r="L29" s="30">
        <v>7688.4</v>
      </c>
      <c r="M29" s="30">
        <v>0</v>
      </c>
      <c r="N29" s="30">
        <v>3527.44</v>
      </c>
      <c r="O29" s="30">
        <v>6052.84</v>
      </c>
      <c r="P29" s="30">
        <v>3347.13</v>
      </c>
      <c r="Q29" s="30">
        <v>14660.9</v>
      </c>
      <c r="R29" s="30">
        <v>0</v>
      </c>
      <c r="S29" s="30">
        <v>35046.76</v>
      </c>
      <c r="T29" s="30">
        <v>32799.46</v>
      </c>
      <c r="U29" s="30">
        <v>3195.03</v>
      </c>
      <c r="V29" s="30">
        <v>74526.94</v>
      </c>
      <c r="W29" s="30">
        <v>83998.549999999988</v>
      </c>
      <c r="X29" s="30">
        <v>470387.15</v>
      </c>
      <c r="Y29" s="30">
        <v>59826.509999999995</v>
      </c>
      <c r="Z29" s="25">
        <f>SUM(N29:Y29)</f>
        <v>787368.71</v>
      </c>
      <c r="AA29" s="37">
        <v>0</v>
      </c>
      <c r="AB29" s="27">
        <f>Z29+AA29</f>
        <v>787368.71</v>
      </c>
      <c r="AE29" s="43"/>
      <c r="AF29" s="43"/>
    </row>
    <row r="30" spans="1:33" x14ac:dyDescent="0.2">
      <c r="A30" s="46" t="s">
        <v>46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9"/>
      <c r="AA30" s="37"/>
      <c r="AB30" s="47"/>
      <c r="AE30" s="48"/>
    </row>
    <row r="31" spans="1:33" x14ac:dyDescent="0.2">
      <c r="A31" s="46" t="s">
        <v>47</v>
      </c>
      <c r="B31" s="29">
        <v>28282.959999999999</v>
      </c>
      <c r="C31" s="29">
        <v>293.60000000000002</v>
      </c>
      <c r="D31" s="29">
        <v>42161.37</v>
      </c>
      <c r="E31" s="29">
        <v>0</v>
      </c>
      <c r="F31" s="29">
        <v>0</v>
      </c>
      <c r="G31" s="29">
        <v>7496.83</v>
      </c>
      <c r="H31" s="29">
        <v>0</v>
      </c>
      <c r="I31" s="29">
        <v>226.33</v>
      </c>
      <c r="J31" s="29">
        <v>0</v>
      </c>
      <c r="K31" s="29">
        <v>0</v>
      </c>
      <c r="L31" s="29">
        <v>0</v>
      </c>
      <c r="M31" s="29">
        <v>0</v>
      </c>
      <c r="N31" s="30">
        <v>0</v>
      </c>
      <c r="O31" s="30">
        <v>19346.46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24671.99</v>
      </c>
      <c r="W31" s="30">
        <v>0</v>
      </c>
      <c r="X31" s="30">
        <v>188914.88</v>
      </c>
      <c r="Y31" s="30">
        <v>8766.4500000000007</v>
      </c>
      <c r="Z31" s="25">
        <f>SUM(N31:Y31)</f>
        <v>241699.78000000003</v>
      </c>
      <c r="AA31" s="37">
        <v>0</v>
      </c>
      <c r="AB31" s="27">
        <f>Z31+AA31</f>
        <v>241699.78000000003</v>
      </c>
    </row>
    <row r="32" spans="1:33" x14ac:dyDescent="0.2">
      <c r="A32" s="46" t="s">
        <v>48</v>
      </c>
      <c r="B32" s="29">
        <f>51565.98+1765.32</f>
        <v>53331.3</v>
      </c>
      <c r="C32" s="29">
        <f>51565.98+1765.32</f>
        <v>53331.3</v>
      </c>
      <c r="D32" s="29">
        <f>51565.98+1765.32</f>
        <v>53331.3</v>
      </c>
      <c r="E32" s="30">
        <f>56662.98+1765.32</f>
        <v>58428.3</v>
      </c>
      <c r="F32" s="30">
        <f>1765.32+52840.23</f>
        <v>54605.55</v>
      </c>
      <c r="G32" s="30">
        <f>52840.23+1765.32</f>
        <v>54605.55</v>
      </c>
      <c r="H32" s="30">
        <f>52840.23+1765.32</f>
        <v>54605.55</v>
      </c>
      <c r="I32" s="30">
        <f>54645.18+1765.32</f>
        <v>56410.5</v>
      </c>
      <c r="J32" s="30">
        <f>54645.18+1765.32</f>
        <v>56410.5</v>
      </c>
      <c r="K32" s="30">
        <f>54645.18+1765.32</f>
        <v>56410.5</v>
      </c>
      <c r="L32" s="30">
        <f>1765.32+54645.18</f>
        <v>56410.5</v>
      </c>
      <c r="M32" s="30">
        <f>(1765.32+56510.13)*2</f>
        <v>116550.9</v>
      </c>
      <c r="N32" s="30">
        <f>56374.05+1719.95</f>
        <v>58094</v>
      </c>
      <c r="O32" s="30">
        <f>56374.05+1719.95</f>
        <v>58094</v>
      </c>
      <c r="P32" s="30">
        <f>56374.05+1719.95</f>
        <v>58094</v>
      </c>
      <c r="Q32" s="30">
        <f>56374.05+1719.95</f>
        <v>58094</v>
      </c>
      <c r="R32" s="30">
        <f>56374.05+1719.95</f>
        <v>58094</v>
      </c>
      <c r="S32" s="30">
        <f>56786.93+1719.95</f>
        <v>58506.879999999997</v>
      </c>
      <c r="T32" s="30">
        <f>SUM(57667.77+1719.95)</f>
        <v>59387.719999999994</v>
      </c>
      <c r="U32" s="30">
        <f>SUM(57667.77+1719.95+52302.94+1719.95)</f>
        <v>113410.61</v>
      </c>
      <c r="V32" s="30">
        <v>29028.799999999999</v>
      </c>
      <c r="W32" s="30">
        <v>78546.25</v>
      </c>
      <c r="X32" s="30">
        <v>125800.8</v>
      </c>
      <c r="Y32" s="30">
        <v>99594.48</v>
      </c>
      <c r="Z32" s="25">
        <f>SUM(N32:Y32)</f>
        <v>854745.54</v>
      </c>
      <c r="AA32" s="37">
        <v>0</v>
      </c>
      <c r="AB32" s="27">
        <f>Z32+AA32</f>
        <v>854745.54</v>
      </c>
    </row>
    <row r="33" spans="1:30" x14ac:dyDescent="0.2">
      <c r="A33" s="49" t="s">
        <v>69</v>
      </c>
      <c r="B33" s="50"/>
      <c r="C33" s="50"/>
      <c r="D33" s="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62"/>
      <c r="AA33" s="52"/>
      <c r="AB33" s="53"/>
    </row>
    <row r="34" spans="1:30" x14ac:dyDescent="0.2">
      <c r="A34" s="54" t="s">
        <v>49</v>
      </c>
      <c r="B34" s="55">
        <f t="shared" ref="B34:Y34" si="8">B17-B28</f>
        <v>5692157.4699999997</v>
      </c>
      <c r="C34" s="55">
        <f t="shared" si="8"/>
        <v>5948114.1699999999</v>
      </c>
      <c r="D34" s="55">
        <f t="shared" si="8"/>
        <v>6067308.1999999993</v>
      </c>
      <c r="E34" s="55">
        <f t="shared" si="8"/>
        <v>6624996.7599999998</v>
      </c>
      <c r="F34" s="55">
        <f t="shared" si="8"/>
        <v>6237813.5399999991</v>
      </c>
      <c r="G34" s="55">
        <f t="shared" si="8"/>
        <v>6205990.7599999998</v>
      </c>
      <c r="H34" s="55">
        <f t="shared" si="8"/>
        <v>6294474.1999999993</v>
      </c>
      <c r="I34" s="55">
        <f t="shared" si="8"/>
        <v>6367989.8200000003</v>
      </c>
      <c r="J34" s="55">
        <f t="shared" si="8"/>
        <v>6445505.1699999999</v>
      </c>
      <c r="K34" s="55">
        <f t="shared" si="8"/>
        <v>6540467.3899999997</v>
      </c>
      <c r="L34" s="55">
        <f t="shared" si="8"/>
        <v>6779441.4099999992</v>
      </c>
      <c r="M34" s="55">
        <f t="shared" si="8"/>
        <v>6372846.1199999992</v>
      </c>
      <c r="N34" s="55">
        <f>N17-N28</f>
        <v>8378491.5300000003</v>
      </c>
      <c r="O34" s="55">
        <f t="shared" ref="O34:T34" si="9">O17-O28</f>
        <v>8496006.790000001</v>
      </c>
      <c r="P34" s="55">
        <f t="shared" si="9"/>
        <v>8490581.290000001</v>
      </c>
      <c r="Q34" s="55">
        <f t="shared" si="9"/>
        <v>8693313.5900000017</v>
      </c>
      <c r="R34" s="55">
        <f t="shared" si="9"/>
        <v>8699934.9000000022</v>
      </c>
      <c r="S34" s="55">
        <f t="shared" si="9"/>
        <v>8900691.2299999986</v>
      </c>
      <c r="T34" s="55">
        <f t="shared" si="9"/>
        <v>9727446.3000000007</v>
      </c>
      <c r="U34" s="56">
        <f t="shared" si="8"/>
        <v>10219506.460000001</v>
      </c>
      <c r="V34" s="56">
        <f t="shared" si="8"/>
        <v>10035816.77</v>
      </c>
      <c r="W34" s="56">
        <f t="shared" si="8"/>
        <v>10072014.709999997</v>
      </c>
      <c r="X34" s="56">
        <f t="shared" si="8"/>
        <v>9746990.4100000001</v>
      </c>
      <c r="Y34" s="56">
        <f t="shared" si="8"/>
        <v>10189460.980000002</v>
      </c>
      <c r="Z34" s="57">
        <f>Z17-Z28</f>
        <v>111650254.95999998</v>
      </c>
      <c r="AA34" s="55">
        <f>AA17-AA28</f>
        <v>1610214.23</v>
      </c>
      <c r="AB34" s="55">
        <f>AB17-AB28</f>
        <v>113260469.18999998</v>
      </c>
    </row>
    <row r="35" spans="1:30" s="72" customFormat="1" ht="15" customHeight="1" x14ac:dyDescent="0.15">
      <c r="A35" s="70" t="s">
        <v>66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D35" s="73"/>
    </row>
    <row r="36" spans="1:30" s="72" customFormat="1" ht="9" customHeight="1" x14ac:dyDescent="0.15">
      <c r="A36" s="74" t="s">
        <v>68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D36" s="73"/>
    </row>
    <row r="37" spans="1:30" s="72" customFormat="1" ht="16.5" hidden="1" customHeight="1" x14ac:dyDescent="0.15">
      <c r="A37" s="75" t="s">
        <v>50</v>
      </c>
      <c r="AD37" s="73"/>
    </row>
    <row r="38" spans="1:30" s="72" customFormat="1" ht="20.25" customHeight="1" x14ac:dyDescent="0.15">
      <c r="A38" s="74" t="s">
        <v>70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D38" s="73"/>
    </row>
    <row r="39" spans="1:30" s="72" customFormat="1" ht="9" customHeight="1" x14ac:dyDescent="0.15">
      <c r="A39" s="76" t="s">
        <v>73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D39" s="73"/>
    </row>
    <row r="40" spans="1:30" s="72" customFormat="1" ht="11.25" customHeight="1" x14ac:dyDescent="0.1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D40" s="73"/>
    </row>
    <row r="41" spans="1:30" s="72" customFormat="1" ht="11.25" customHeight="1" x14ac:dyDescent="0.15">
      <c r="A41" s="74" t="s">
        <v>71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D41" s="73"/>
    </row>
    <row r="42" spans="1:30" ht="9" customHeight="1" x14ac:dyDescent="0.2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</row>
    <row r="43" spans="1:30" x14ac:dyDescent="0.2"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2"/>
    </row>
    <row r="44" spans="1:30" x14ac:dyDescent="0.2">
      <c r="A44" s="58" t="s">
        <v>72</v>
      </c>
      <c r="E44" s="2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2"/>
      <c r="AA44" s="2"/>
      <c r="AB44" s="2"/>
    </row>
    <row r="45" spans="1:30" x14ac:dyDescent="0.2">
      <c r="C45" s="48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30" x14ac:dyDescent="0.2">
      <c r="C46" s="48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30" x14ac:dyDescent="0.2">
      <c r="A47" s="2" t="s">
        <v>56</v>
      </c>
      <c r="B47" s="5"/>
      <c r="N47" s="2"/>
      <c r="O47" s="2"/>
      <c r="P47" s="2" t="s">
        <v>51</v>
      </c>
      <c r="Q47" s="2"/>
      <c r="R47" s="2"/>
      <c r="S47" s="5"/>
      <c r="T47" s="64" t="s">
        <v>52</v>
      </c>
      <c r="U47" s="64"/>
      <c r="V47" s="64"/>
      <c r="W47" s="64"/>
      <c r="X47" s="64"/>
      <c r="Y47" s="64"/>
      <c r="Z47" s="64"/>
    </row>
    <row r="48" spans="1:30" x14ac:dyDescent="0.2">
      <c r="A48" s="1" t="s">
        <v>53</v>
      </c>
      <c r="N48" s="1"/>
      <c r="O48" s="1"/>
      <c r="P48" s="1" t="s">
        <v>54</v>
      </c>
      <c r="Q48" s="1"/>
      <c r="R48" s="1"/>
      <c r="T48" s="65" t="s">
        <v>55</v>
      </c>
      <c r="U48" s="65"/>
      <c r="V48" s="65"/>
      <c r="W48" s="65"/>
      <c r="X48" s="65"/>
      <c r="Y48" s="65"/>
      <c r="Z48" s="65"/>
    </row>
    <row r="49" spans="1:1" x14ac:dyDescent="0.2">
      <c r="A49" s="1" t="s">
        <v>67</v>
      </c>
    </row>
  </sheetData>
  <mergeCells count="35">
    <mergeCell ref="B10:AB10"/>
    <mergeCell ref="B11:AB11"/>
    <mergeCell ref="B12:Z12"/>
    <mergeCell ref="B13:B16"/>
    <mergeCell ref="C13:C16"/>
    <mergeCell ref="D13:D16"/>
    <mergeCell ref="E13:E16"/>
    <mergeCell ref="F13:F16"/>
    <mergeCell ref="G13:G16"/>
    <mergeCell ref="H13:H16"/>
    <mergeCell ref="I13:I16"/>
    <mergeCell ref="J13:J16"/>
    <mergeCell ref="K13:K16"/>
    <mergeCell ref="L13:L16"/>
    <mergeCell ref="M13:M16"/>
    <mergeCell ref="N13:N16"/>
    <mergeCell ref="Y13:Y16"/>
    <mergeCell ref="A36:AB36"/>
    <mergeCell ref="A38:AB38"/>
    <mergeCell ref="A41:AB41"/>
    <mergeCell ref="T13:T16"/>
    <mergeCell ref="U13:U16"/>
    <mergeCell ref="V13:V16"/>
    <mergeCell ref="W13:W16"/>
    <mergeCell ref="X13:X16"/>
    <mergeCell ref="O13:O16"/>
    <mergeCell ref="P13:P16"/>
    <mergeCell ref="Q13:Q16"/>
    <mergeCell ref="R13:R16"/>
    <mergeCell ref="S13:S16"/>
    <mergeCell ref="A39:AB40"/>
    <mergeCell ref="A42:AB42"/>
    <mergeCell ref="E46:AB46"/>
    <mergeCell ref="T47:Z47"/>
    <mergeCell ref="T48:Z48"/>
  </mergeCells>
  <phoneticPr fontId="7" type="noConversion"/>
  <printOptions horizontalCentered="1"/>
  <pageMargins left="0.59027777777777801" right="0.59027777777777801" top="0.78749999999999998" bottom="0.78749999999999998" header="0.511811023622047" footer="0.511811023622047"/>
  <pageSetup paperSize="9" scale="59" orientation="landscape" horizontalDpi="300" verticalDpi="300" r:id="rId1"/>
  <ignoredErrors>
    <ignoredError sqref="Z17:Z18" formula="1"/>
    <ignoredError sqref="Z29 Z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1 - Pessoal Defensoria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Edione Bernardino</dc:creator>
  <dc:description/>
  <cp:lastModifiedBy>Edione Bernardino</cp:lastModifiedBy>
  <cp:revision>2</cp:revision>
  <cp:lastPrinted>2024-05-10T17:08:16Z</cp:lastPrinted>
  <dcterms:created xsi:type="dcterms:W3CDTF">2020-01-27T17:36:11Z</dcterms:created>
  <dcterms:modified xsi:type="dcterms:W3CDTF">2024-05-10T17:08:47Z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