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ORDENACAO-GERAL-ADMINISTRACAO\GESTAO-FINANCAS\04 - CONTABILIDADE\04 - RGF\2023\"/>
    </mc:Choice>
  </mc:AlternateContent>
  <bookViews>
    <workbookView xWindow="0" yWindow="0" windowWidth="25125" windowHeight="11835" tabRatio="500"/>
  </bookViews>
  <sheets>
    <sheet name="Anexo 1 - Pessoal Defensoria" sheetId="1" r:id="rId1"/>
  </sheets>
  <definedNames>
    <definedName name="Ações">#REF!</definedName>
    <definedName name="Cancela">#REF!,#REF!</definedName>
    <definedName name="ClassPrevAtu">#REF!</definedName>
    <definedName name="ClassPrevInicial">#REF!</definedName>
    <definedName name="ClassRecAnt">#REF!</definedName>
    <definedName name="ClassRecBim">#REF!</definedName>
    <definedName name="ClassRecNoBim">#REF!</definedName>
    <definedName name="CritEx">#REF!</definedName>
    <definedName name="DespAcao">#REF!</definedName>
    <definedName name="DespElem">#REF!</definedName>
    <definedName name="doExeAnt">#REF!</definedName>
    <definedName name="doExercicio">#REF!</definedName>
    <definedName name="DotacaoAtualizada">#REF!</definedName>
    <definedName name="DotacaoInicial">#REF!</definedName>
    <definedName name="dsfrw">#REF!,#REF!</definedName>
    <definedName name="Elementos">#REF!</definedName>
    <definedName name="fdsafs">#REF!,#REF!</definedName>
    <definedName name="fdsf">#REF!</definedName>
    <definedName name="fhksjd">#REF!,#REF!</definedName>
    <definedName name="fsdfs">#REF!</definedName>
    <definedName name="HTML_CodePage">1252</definedName>
    <definedName name="HTML_Description">""</definedName>
    <definedName name="HTML_Email">""</definedName>
    <definedName name="HTML_Header">"Tabela"</definedName>
    <definedName name="HTML_LastUpdate">"16/03/98"</definedName>
    <definedName name="HTML_LineAfter">0</definedName>
    <definedName name="HTML_LineBefore">0</definedName>
    <definedName name="HTML_Name">"Rede Integrada"</definedName>
    <definedName name="HTML_OBDlg2">1</definedName>
    <definedName name="HTML_OBDlg4">1</definedName>
    <definedName name="HTML_OS">0</definedName>
    <definedName name="HTML_PathFile">"C:\internetemp\balpep1.htm"</definedName>
    <definedName name="HTML_Title">"Balpep11"</definedName>
    <definedName name="LiqAteBimAnt">#REF!</definedName>
    <definedName name="LiqAteBimestre">#REF!</definedName>
    <definedName name="LiqNoBim">#REF!</definedName>
    <definedName name="Naturezas">#REF!</definedName>
    <definedName name="nobo1">#REF!</definedName>
    <definedName name="Novo">#REF!</definedName>
    <definedName name="Plan">#REF!</definedName>
    <definedName name="Planilha">#REF!</definedName>
    <definedName name="Planilha_1">#REF!,#REF!</definedName>
    <definedName name="Planilha_1ÁreaTotal" localSheetId="0">#REF!,#REF!</definedName>
    <definedName name="Planilha_1ÁreaTotal">#REF!,#REF!</definedName>
    <definedName name="Planilha_1CabGráfico" localSheetId="0">#REF!</definedName>
    <definedName name="Planilha_1CabGráfico">#REF!</definedName>
    <definedName name="Planilha_1TítCols" localSheetId="0">#REF!,#REF!</definedName>
    <definedName name="Planilha_1TítCols">#REF!,#REF!</definedName>
    <definedName name="Planilha_1TítLins" localSheetId="0">#REF!</definedName>
    <definedName name="Planilha_1TítLins">#REF!</definedName>
    <definedName name="Planilha_2ÁreaTotal" localSheetId="0">#REF!,#REF!</definedName>
    <definedName name="Planilha_2ÁreaTotal">#REF!,#REF!</definedName>
    <definedName name="Planilha_2CabGráfico" localSheetId="0">#REF!</definedName>
    <definedName name="Planilha_2CabGráfico">#REF!</definedName>
    <definedName name="Planilha_2TítCols" localSheetId="0">#REF!,#REF!</definedName>
    <definedName name="Planilha_2TítCols">#REF!,#REF!</definedName>
    <definedName name="Planilha_2TítLins" localSheetId="0">#REF!</definedName>
    <definedName name="Planilha_2TítLins">#REF!</definedName>
    <definedName name="Planilha_3ÁreaTotal" localSheetId="0">#REF!,#REF!</definedName>
    <definedName name="Planilha_3ÁreaTotal">#REF!,#REF!</definedName>
    <definedName name="Planilha_3CabGráfico" localSheetId="0">#REF!</definedName>
    <definedName name="Planilha_3CabGráfico">#REF!</definedName>
    <definedName name="Planilha_3TítCols" localSheetId="0">#REF!,#REF!</definedName>
    <definedName name="Planilha_3TítCols">#REF!,#REF!</definedName>
    <definedName name="Planilha_3TítLins" localSheetId="0">#REF!</definedName>
    <definedName name="Planilha_3TítLins">#REF!</definedName>
    <definedName name="Planilha_4ÁreaTotal" localSheetId="0">#REF!,#REF!</definedName>
    <definedName name="Planilha_4ÁreaTotal">#REF!,#REF!</definedName>
    <definedName name="Planilha_4TítCols" localSheetId="0">#REF!,#REF!</definedName>
    <definedName name="Planilha_4TítCols">#REF!,#REF!</definedName>
    <definedName name="Planilha_Educação">#REF!,#REF!</definedName>
    <definedName name="Planilha1">#REF!,#REF!</definedName>
    <definedName name="Planilhas">#REF!</definedName>
    <definedName name="PrevAtu">#REF!</definedName>
    <definedName name="PrevInicial">#REF!</definedName>
    <definedName name="RecAnt">#REF!</definedName>
    <definedName name="RecBim">#REF!</definedName>
    <definedName name="RecNBim">#REF!</definedName>
    <definedName name="RecNoBim">#REF!</definedName>
    <definedName name="rgps">#REF!</definedName>
    <definedName name="RGPS1">#REF!</definedName>
    <definedName name="RGPS2">#REF!,#REF!</definedName>
    <definedName name="xxx">#REF!,#REF!</definedName>
  </definedNames>
  <calcPr calcId="152511"/>
</workbook>
</file>

<file path=xl/calcChain.xml><?xml version="1.0" encoding="utf-8"?>
<calcChain xmlns="http://schemas.openxmlformats.org/spreadsheetml/2006/main">
  <c r="O20" i="1" l="1"/>
  <c r="S19" i="1" l="1"/>
  <c r="U19" i="1"/>
  <c r="T19" i="1"/>
  <c r="R19" i="1"/>
  <c r="Q19" i="1"/>
  <c r="S22" i="1"/>
  <c r="V32" i="1"/>
  <c r="V31" i="1"/>
  <c r="V29" i="1"/>
  <c r="V24" i="1"/>
  <c r="V23" i="1"/>
  <c r="V20" i="1"/>
  <c r="V19" i="1"/>
  <c r="U32" i="1" l="1"/>
  <c r="T32" i="1" l="1"/>
  <c r="U20" i="1"/>
  <c r="T20" i="1"/>
  <c r="U28" i="1"/>
  <c r="V28" i="1" s="1"/>
  <c r="U22" i="1"/>
  <c r="U17" i="1" s="1"/>
  <c r="U18" i="1"/>
  <c r="U33" i="1" l="1"/>
  <c r="T28" i="1"/>
  <c r="T22" i="1"/>
  <c r="T18" i="1"/>
  <c r="T17" i="1" s="1"/>
  <c r="T33" i="1" l="1"/>
  <c r="X32" i="1"/>
  <c r="X31" i="1"/>
  <c r="X29" i="1"/>
  <c r="X28" i="1"/>
  <c r="X24" i="1"/>
  <c r="X23" i="1"/>
  <c r="X20" i="1"/>
  <c r="X19" i="1"/>
  <c r="W17" i="1"/>
  <c r="S32" i="1"/>
  <c r="R32" i="1"/>
  <c r="M32" i="1" l="1"/>
  <c r="P32" i="1"/>
  <c r="Q32" i="1"/>
  <c r="S20" i="1"/>
  <c r="R20" i="1"/>
  <c r="S28" i="1"/>
  <c r="R28" i="1"/>
  <c r="R22" i="1"/>
  <c r="S18" i="1"/>
  <c r="R18" i="1"/>
  <c r="R17" i="1" l="1"/>
  <c r="S17" i="1"/>
  <c r="S33" i="1" s="1"/>
  <c r="W18" i="1"/>
  <c r="R33" i="1" l="1"/>
  <c r="L32" i="1"/>
  <c r="K32" i="1"/>
  <c r="J32" i="1"/>
  <c r="I32" i="1"/>
  <c r="H32" i="1"/>
  <c r="G32" i="1"/>
  <c r="F32" i="1"/>
  <c r="E32" i="1"/>
  <c r="D32" i="1"/>
  <c r="C32" i="1"/>
  <c r="B32" i="1"/>
  <c r="M28" i="1"/>
  <c r="L28" i="1"/>
  <c r="K28" i="1"/>
  <c r="J28" i="1"/>
  <c r="I28" i="1"/>
  <c r="H28" i="1"/>
  <c r="G28" i="1"/>
  <c r="F28" i="1"/>
  <c r="E28" i="1"/>
  <c r="D28" i="1"/>
  <c r="C28" i="1"/>
  <c r="B28" i="1"/>
  <c r="M24" i="1"/>
  <c r="M23" i="1"/>
  <c r="M22" i="1" s="1"/>
  <c r="L22" i="1"/>
  <c r="K22" i="1"/>
  <c r="J22" i="1"/>
  <c r="I22" i="1"/>
  <c r="H22" i="1"/>
  <c r="G22" i="1"/>
  <c r="F22" i="1"/>
  <c r="E22" i="1"/>
  <c r="D22" i="1"/>
  <c r="C22" i="1"/>
  <c r="B22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K17" i="1" s="1"/>
  <c r="J18" i="1"/>
  <c r="J17" i="1" s="1"/>
  <c r="I18" i="1"/>
  <c r="H18" i="1"/>
  <c r="G18" i="1"/>
  <c r="G17" i="1" s="1"/>
  <c r="F18" i="1"/>
  <c r="F17" i="1" s="1"/>
  <c r="E18" i="1"/>
  <c r="E17" i="1" s="1"/>
  <c r="D18" i="1"/>
  <c r="D17" i="1" s="1"/>
  <c r="C18" i="1"/>
  <c r="B18" i="1"/>
  <c r="I17" i="1"/>
  <c r="C17" i="1"/>
  <c r="B17" i="1"/>
  <c r="L17" i="1" l="1"/>
  <c r="H17" i="1"/>
  <c r="M17" i="1"/>
  <c r="N20" i="1"/>
  <c r="N19" i="1"/>
  <c r="Q18" i="1" l="1"/>
  <c r="Q20" i="1"/>
  <c r="P20" i="1"/>
  <c r="P19" i="1"/>
  <c r="P18" i="1"/>
  <c r="O19" i="1"/>
  <c r="Q28" i="1"/>
  <c r="Q22" i="1"/>
  <c r="P28" i="1"/>
  <c r="P22" i="1"/>
  <c r="P17" i="1" l="1"/>
  <c r="P33" i="1" s="1"/>
  <c r="Q17" i="1"/>
  <c r="O32" i="1"/>
  <c r="N32" i="1"/>
  <c r="Q33" i="1" l="1"/>
  <c r="O29" i="1"/>
  <c r="O22" i="1"/>
  <c r="N18" i="1"/>
  <c r="N31" i="1"/>
  <c r="N28" i="1"/>
  <c r="O18" i="1"/>
  <c r="V18" i="1" s="1"/>
  <c r="N22" i="1"/>
  <c r="O28" i="1"/>
  <c r="V22" i="1" l="1"/>
  <c r="X22" i="1" s="1"/>
  <c r="X18" i="1"/>
  <c r="O17" i="1"/>
  <c r="O33" i="1" s="1"/>
  <c r="N17" i="1"/>
  <c r="V17" i="1" s="1"/>
  <c r="V33" i="1" l="1"/>
  <c r="N33" i="1"/>
  <c r="V21" i="1" l="1"/>
  <c r="M33" i="1" l="1"/>
  <c r="K33" i="1" l="1"/>
  <c r="L33" i="1"/>
  <c r="J33" i="1" l="1"/>
  <c r="I33" i="1" l="1"/>
  <c r="H33" i="1" l="1"/>
  <c r="G33" i="1" l="1"/>
  <c r="E33" i="1" l="1"/>
  <c r="W33" i="1"/>
  <c r="D33" i="1" l="1"/>
  <c r="X17" i="1"/>
  <c r="C33" i="1" l="1"/>
  <c r="B33" i="1"/>
  <c r="F33" i="1"/>
  <c r="X33" i="1" l="1"/>
</calcChain>
</file>

<file path=xl/comments1.xml><?xml version="1.0" encoding="utf-8"?>
<comments xmlns="http://schemas.openxmlformats.org/spreadsheetml/2006/main">
  <authors>
    <author/>
  </authors>
  <commentList>
    <comment ref="W19" authorId="0" shapeId="0">
      <text>
        <r>
          <rPr>
            <sz val="10"/>
            <rFont val="Arial"/>
            <family val="2"/>
          </rPr>
          <t xml:space="preserve">Elisangela Mann:
</t>
        </r>
        <r>
          <rPr>
            <sz val="9"/>
            <color rgb="FF000000"/>
            <rFont val="Segoe UI"/>
            <family val="2"/>
            <charset val="1"/>
          </rPr>
          <t xml:space="preserve">62213060000 </t>
        </r>
      </text>
    </comment>
  </commentList>
</comments>
</file>

<file path=xl/sharedStrings.xml><?xml version="1.0" encoding="utf-8"?>
<sst xmlns="http://schemas.openxmlformats.org/spreadsheetml/2006/main" count="71" uniqueCount="70">
  <si>
    <t>Tabela 1.3 - Demonstrativo da Despesa com Pessoal - Defensoria Pública</t>
  </si>
  <si>
    <t>DEFENSORIA PÚBLICA DO ESTADO DO PARANÁ</t>
  </si>
  <si>
    <t>RELATÓRIO DE GESTÃO FISCAL</t>
  </si>
  <si>
    <t xml:space="preserve">DEMONSTRATIVO DA DESPESA COM PESSOAL </t>
  </si>
  <si>
    <t>ORÇAMENTOS FISCAL E DA SEGURIDADE SOCIAL</t>
  </si>
  <si>
    <t>RGF - ANEXO 1 (Portaria STN nº 72/2012, art. 11, I)</t>
  </si>
  <si>
    <t>DESPESA COM PESSOAL</t>
  </si>
  <si>
    <t>INSCRITAS EM</t>
  </si>
  <si>
    <t>TOTAL</t>
  </si>
  <si>
    <t>01/2022</t>
  </si>
  <si>
    <t>02/2022</t>
  </si>
  <si>
    <t>03/2022</t>
  </si>
  <si>
    <t>04/2022</t>
  </si>
  <si>
    <t xml:space="preserve"> RESTOS A PAGAR</t>
  </si>
  <si>
    <t>(ÚLTIMOS</t>
  </si>
  <si>
    <t xml:space="preserve">NÃO </t>
  </si>
  <si>
    <t>12 MESES)</t>
  </si>
  <si>
    <t xml:space="preserve"> PROCESSADOS</t>
  </si>
  <si>
    <t>(a)</t>
  </si>
  <si>
    <t>(b)</t>
  </si>
  <si>
    <t>(c = a + b)</t>
  </si>
  <si>
    <t>DESPESA BRUTA COM PESSOAL (I)</t>
  </si>
  <si>
    <t xml:space="preserve">    Pessoal Ativo</t>
  </si>
  <si>
    <t xml:space="preserve">      Vencimentos, Vantagens e Outras Despesas Variáveis</t>
  </si>
  <si>
    <t xml:space="preserve">      Obrigações Patronais</t>
  </si>
  <si>
    <t xml:space="preserve">      Benefícios Previdenciários</t>
  </si>
  <si>
    <t xml:space="preserve">    Pessoal Inativo e Pensionistas</t>
  </si>
  <si>
    <t xml:space="preserve">      Aposentadorias, Reserva e Reformas</t>
  </si>
  <si>
    <t xml:space="preserve">      Pensões</t>
  </si>
  <si>
    <t xml:space="preserve">      Outros Benefícios Previdenciários</t>
  </si>
  <si>
    <t xml:space="preserve">    Outras despesas de pessoal decorrentes de contratos de terceirização ou de contratação de forma indireta (§ 1º do art. 18 da LRF)</t>
  </si>
  <si>
    <t>Despesa com Pessoal não Executada Orçamentariamente</t>
  </si>
  <si>
    <t xml:space="preserve">DESPESAS NÃO COMPUTADAS (II) (§ 1º do art. 19 da LRF) </t>
  </si>
  <si>
    <t>Indenizações por Demissão e Incentivos à Demissão Voluntária</t>
  </si>
  <si>
    <t>Decorrentes de Decisão Judicial de período anterior ao da apuração</t>
  </si>
  <si>
    <t>Despesas de Exercícios Anteriores de período anterior ao da apuração</t>
  </si>
  <si>
    <t>Inativos e Pensionistas com Recursos Vinculados</t>
  </si>
  <si>
    <t>DESPESA LÍQUIDA COM PESSOAL (III) = (I - II)</t>
  </si>
  <si>
    <t>FONTE: SEFA/CTE - Sistema NOVO SIAF</t>
  </si>
  <si>
    <t>1. Para despesas foram somados os valores contabilizados nos períodos nos órgão Defensoria Pública do Paraná e Fundo da Defensoria Pública do Paraná.</t>
  </si>
  <si>
    <t>2. Não existiu em 2020  Restos a Pagar não Processados referente à Despesa com Pessoal.</t>
  </si>
  <si>
    <t>2.  Despesas com Pessoal Inativo e Pensionaistas referem-se ao valor dos Inativos e Pensionistas repassado à Paranaprevidência a partir de março/20, conf.  Decreto Estadual n° 7.555/2013, que regulamentou a Lei Estadual n° 17.435/2012, devida a alteração do procedimento por parte do Poder Executivo  através da SEFA a partir de mar/20.</t>
  </si>
  <si>
    <t>3. Em Indenizações por Demissão e Incentivos à Demissão Voluntária estão considerados as indenizações com exonerações a pedido e de ofício.</t>
  </si>
  <si>
    <t>4.  Em Despesas de exercício Anterior foram consideradas as Indenizações de férias vencidas deferidas à membros e servidores.</t>
  </si>
  <si>
    <t>Juliana Bitencourt Fernandes dos Santos</t>
  </si>
  <si>
    <t>André Ribeiro Giamberardino</t>
  </si>
  <si>
    <t>Departamento Financeiro</t>
  </si>
  <si>
    <t>Controle Interno</t>
  </si>
  <si>
    <t>Defensor Público-Geral do Estado do Paraná</t>
  </si>
  <si>
    <t>05/2022</t>
  </si>
  <si>
    <t>06/2022</t>
  </si>
  <si>
    <t>07/2022</t>
  </si>
  <si>
    <t>08/2022</t>
  </si>
  <si>
    <t>Rebeca Espírito Santo Abdalla</t>
  </si>
  <si>
    <t>09/2022</t>
  </si>
  <si>
    <t>10/2022</t>
  </si>
  <si>
    <t>11/2022</t>
  </si>
  <si>
    <t>12/2022</t>
  </si>
  <si>
    <t>01/2023</t>
  </si>
  <si>
    <t>02/2023</t>
  </si>
  <si>
    <t>03/2023</t>
  </si>
  <si>
    <t>04/2023</t>
  </si>
  <si>
    <t>6. Saldos de RP não processados não foram demosntrados no ultimo quadrimestre de 2022 e estão sendo inclusos neste quadrimestre.</t>
  </si>
  <si>
    <t>5. Encontramos inconsistências nos valores informados no ano de 2022. Os valores de  Indenizações por Demissão e Incentivos à Demissão Voluntária e Despesas de Exercícios Anteriores de período anterior ao da apuração, que foram deduzidos de forma correta como despesas não computadas, não estavam sendo computados na linha de Vencimentos, Vantagens e Outras Despesas Variáveis. Saldos ja corrigidos no 1° quadrimestre de2023.</t>
  </si>
  <si>
    <t>05/2023</t>
  </si>
  <si>
    <t>06/2023</t>
  </si>
  <si>
    <t>07/2023</t>
  </si>
  <si>
    <t>08/2023</t>
  </si>
  <si>
    <t>Setembro/2022 a Agosto/2023</t>
  </si>
  <si>
    <t>Curitiba, 20 Setembro 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</si>
</sst>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_-;\-* #,##0.00_-;_-* \-??_-;_-@_-"/>
    <numFmt numFmtId="165" formatCode="&quot;R$ &quot;#,##0.00_);[Red]&quot;(R$ &quot;#,##0.00\)"/>
  </numFmts>
  <fonts count="11" x14ac:knownFonts="1">
    <font>
      <sz val="10"/>
      <name val="Arial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7"/>
      <name val="Arial"/>
      <family val="2"/>
      <charset val="1"/>
    </font>
    <font>
      <b/>
      <sz val="7"/>
      <name val="Arial"/>
      <family val="2"/>
      <charset val="1"/>
    </font>
    <font>
      <sz val="7"/>
      <color rgb="FFFF0000"/>
      <name val="Arial"/>
      <family val="2"/>
      <charset val="1"/>
    </font>
    <font>
      <b/>
      <sz val="11"/>
      <color rgb="FFB94A48"/>
      <name val="Arial"/>
      <family val="2"/>
      <charset val="1"/>
    </font>
    <font>
      <sz val="9"/>
      <color rgb="FF000000"/>
      <name val="Segoe UI"/>
      <family val="2"/>
      <charset val="1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1" fillId="0" borderId="0" applyBorder="0" applyProtection="0"/>
    <xf numFmtId="164" fontId="2" fillId="0" borderId="0" applyBorder="0" applyProtection="0"/>
    <xf numFmtId="43" fontId="10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5" fontId="3" fillId="0" borderId="0" xfId="0" applyNumberFormat="1" applyFont="1" applyAlignment="1">
      <alignment horizontal="right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49" fontId="4" fillId="2" borderId="6" xfId="1" applyNumberFormat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3" fillId="2" borderId="8" xfId="0" applyFont="1" applyFill="1" applyBorder="1"/>
    <xf numFmtId="49" fontId="4" fillId="2" borderId="8" xfId="1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top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2" borderId="10" xfId="1" applyFont="1" applyFill="1" applyBorder="1" applyAlignment="1">
      <alignment horizontal="center" vertical="top" wrapText="1"/>
    </xf>
    <xf numFmtId="0" fontId="3" fillId="0" borderId="2" xfId="1" applyFont="1" applyBorder="1"/>
    <xf numFmtId="4" fontId="3" fillId="3" borderId="6" xfId="1" applyNumberFormat="1" applyFont="1" applyFill="1" applyBorder="1"/>
    <xf numFmtId="4" fontId="4" fillId="0" borderId="8" xfId="0" applyNumberFormat="1" applyFont="1" applyBorder="1"/>
    <xf numFmtId="0" fontId="3" fillId="0" borderId="2" xfId="1" applyFont="1" applyBorder="1" applyAlignment="1">
      <alignment horizontal="left"/>
    </xf>
    <xf numFmtId="4" fontId="3" fillId="3" borderId="2" xfId="1" applyNumberFormat="1" applyFont="1" applyFill="1" applyBorder="1"/>
    <xf numFmtId="4" fontId="4" fillId="3" borderId="8" xfId="1" applyNumberFormat="1" applyFont="1" applyFill="1" applyBorder="1"/>
    <xf numFmtId="4" fontId="5" fillId="0" borderId="8" xfId="1" applyNumberFormat="1" applyFont="1" applyBorder="1"/>
    <xf numFmtId="0" fontId="3" fillId="0" borderId="8" xfId="1" applyFont="1" applyBorder="1"/>
    <xf numFmtId="0" fontId="3" fillId="0" borderId="0" xfId="1" applyFont="1"/>
    <xf numFmtId="0" fontId="3" fillId="3" borderId="2" xfId="1" applyFont="1" applyFill="1" applyBorder="1" applyAlignment="1">
      <alignment horizontal="left"/>
    </xf>
    <xf numFmtId="4" fontId="3" fillId="3" borderId="8" xfId="1" applyNumberFormat="1" applyFont="1" applyFill="1" applyBorder="1"/>
    <xf numFmtId="0" fontId="5" fillId="0" borderId="0" xfId="0" applyFont="1"/>
    <xf numFmtId="0" fontId="3" fillId="3" borderId="8" xfId="0" applyFont="1" applyFill="1" applyBorder="1"/>
    <xf numFmtId="0" fontId="3" fillId="0" borderId="2" xfId="1" applyFont="1" applyBorder="1" applyAlignment="1">
      <alignment horizontal="left" wrapText="1"/>
    </xf>
    <xf numFmtId="0" fontId="3" fillId="0" borderId="8" xfId="0" applyFont="1" applyBorder="1"/>
    <xf numFmtId="0" fontId="3" fillId="0" borderId="2" xfId="1" applyFont="1" applyBorder="1" applyAlignment="1">
      <alignment horizontal="left" indent="1"/>
    </xf>
    <xf numFmtId="0" fontId="4" fillId="0" borderId="8" xfId="0" applyFont="1" applyBorder="1"/>
    <xf numFmtId="0" fontId="3" fillId="0" borderId="3" xfId="1" applyFont="1" applyBorder="1" applyAlignment="1">
      <alignment horizontal="left" indent="1"/>
    </xf>
    <xf numFmtId="4" fontId="3" fillId="3" borderId="3" xfId="1" applyNumberFormat="1" applyFont="1" applyFill="1" applyBorder="1"/>
    <xf numFmtId="4" fontId="3" fillId="3" borderId="9" xfId="1" applyNumberFormat="1" applyFont="1" applyFill="1" applyBorder="1"/>
    <xf numFmtId="4" fontId="4" fillId="0" borderId="9" xfId="0" applyNumberFormat="1" applyFont="1" applyBorder="1"/>
    <xf numFmtId="0" fontId="3" fillId="2" borderId="3" xfId="1" applyFont="1" applyFill="1" applyBorder="1"/>
    <xf numFmtId="4" fontId="4" fillId="2" borderId="9" xfId="1" applyNumberFormat="1" applyFont="1" applyFill="1" applyBorder="1"/>
    <xf numFmtId="4" fontId="5" fillId="0" borderId="0" xfId="0" applyNumberFormat="1" applyFont="1"/>
    <xf numFmtId="0" fontId="4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indent="1"/>
    </xf>
    <xf numFmtId="4" fontId="4" fillId="0" borderId="0" xfId="0" applyNumberFormat="1" applyFont="1" applyAlignment="1">
      <alignment horizontal="center"/>
    </xf>
    <xf numFmtId="4" fontId="3" fillId="3" borderId="2" xfId="1" quotePrefix="1" applyNumberFormat="1" applyFont="1" applyFill="1" applyBorder="1"/>
    <xf numFmtId="0" fontId="3" fillId="0" borderId="0" xfId="0" applyFont="1" applyBorder="1"/>
    <xf numFmtId="0" fontId="3" fillId="0" borderId="8" xfId="1" applyFont="1" applyBorder="1" applyAlignment="1">
      <alignment horizontal="left" indent="1"/>
    </xf>
    <xf numFmtId="0" fontId="4" fillId="2" borderId="6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/>
    <xf numFmtId="43" fontId="3" fillId="0" borderId="0" xfId="0" applyNumberFormat="1" applyFont="1"/>
    <xf numFmtId="43" fontId="3" fillId="0" borderId="0" xfId="5" applyFont="1"/>
    <xf numFmtId="43" fontId="5" fillId="0" borderId="0" xfId="5" applyFont="1"/>
    <xf numFmtId="43" fontId="3" fillId="0" borderId="0" xfId="5" applyFont="1" applyAlignment="1">
      <alignment horizontal="right"/>
    </xf>
    <xf numFmtId="0" fontId="3" fillId="0" borderId="11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4" fontId="5" fillId="0" borderId="0" xfId="0" applyNumberFormat="1" applyFont="1" applyBorder="1"/>
    <xf numFmtId="4" fontId="4" fillId="4" borderId="0" xfId="1" applyNumberFormat="1" applyFont="1" applyFill="1" applyBorder="1"/>
    <xf numFmtId="4" fontId="3" fillId="5" borderId="0" xfId="1" applyNumberFormat="1" applyFont="1" applyFill="1" applyBorder="1"/>
    <xf numFmtId="4" fontId="3" fillId="4" borderId="0" xfId="1" applyNumberFormat="1" applyFont="1" applyFill="1" applyBorder="1"/>
    <xf numFmtId="43" fontId="3" fillId="3" borderId="8" xfId="5" applyFont="1" applyFill="1" applyBorder="1"/>
    <xf numFmtId="43" fontId="3" fillId="3" borderId="9" xfId="5" applyFont="1" applyFill="1" applyBorder="1"/>
    <xf numFmtId="4" fontId="4" fillId="4" borderId="7" xfId="1" applyNumberFormat="1" applyFont="1" applyFill="1" applyBorder="1"/>
    <xf numFmtId="4" fontId="4" fillId="2" borderId="12" xfId="1" applyNumberFormat="1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4" fillId="2" borderId="4" xfId="1" applyNumberFormat="1" applyFont="1" applyFill="1" applyBorder="1"/>
    <xf numFmtId="4" fontId="3" fillId="5" borderId="8" xfId="1" applyNumberFormat="1" applyFont="1" applyFill="1" applyBorder="1"/>
    <xf numFmtId="4" fontId="3" fillId="5" borderId="2" xfId="1" applyNumberFormat="1" applyFont="1" applyFill="1" applyBorder="1"/>
    <xf numFmtId="0" fontId="3" fillId="5" borderId="0" xfId="0" applyFont="1" applyFill="1"/>
    <xf numFmtId="0" fontId="4" fillId="2" borderId="1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49" fontId="4" fillId="2" borderId="4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3" xfId="2"/>
    <cellStyle name="Vírgula" xfId="5" builtinId="3"/>
    <cellStyle name="Vírgula 2" xfId="3"/>
    <cellStyle name="Vírgula 3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94A48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Q52"/>
  <sheetViews>
    <sheetView showGridLines="0" tabSelected="1" topLeftCell="A7" zoomScaleNormal="100" workbookViewId="0">
      <selection activeCell="K19" sqref="K19"/>
    </sheetView>
  </sheetViews>
  <sheetFormatPr defaultColWidth="9.140625" defaultRowHeight="12.75" x14ac:dyDescent="0.2"/>
  <cols>
    <col min="1" max="1" width="68.7109375" style="1" bestFit="1" customWidth="1"/>
    <col min="2" max="5" width="8.7109375" style="1" hidden="1" customWidth="1"/>
    <col min="6" max="9" width="9.42578125" style="1" hidden="1" customWidth="1"/>
    <col min="10" max="20" width="9.42578125" style="1" customWidth="1"/>
    <col min="21" max="21" width="11.28515625" style="1" customWidth="1"/>
    <col min="22" max="22" width="9.42578125" style="47" bestFit="1" customWidth="1"/>
    <col min="23" max="23" width="12.5703125" style="1" bestFit="1" customWidth="1"/>
    <col min="24" max="24" width="9.42578125" style="1" bestFit="1" customWidth="1"/>
    <col min="25" max="25" width="1.85546875" style="1" customWidth="1"/>
    <col min="26" max="26" width="14.140625" style="55" customWidth="1"/>
    <col min="27" max="32" width="14.140625" style="1" customWidth="1"/>
    <col min="33" max="1031" width="9.140625" style="1"/>
  </cols>
  <sheetData>
    <row r="1" spans="1:24" x14ac:dyDescent="0.2">
      <c r="A1" s="2" t="s">
        <v>0</v>
      </c>
    </row>
    <row r="2" spans="1:24" x14ac:dyDescent="0.2">
      <c r="A2" s="2"/>
    </row>
    <row r="3" spans="1:24" x14ac:dyDescent="0.2">
      <c r="A3" s="3" t="s">
        <v>1</v>
      </c>
    </row>
    <row r="4" spans="1:24" x14ac:dyDescent="0.2">
      <c r="A4" s="3" t="s">
        <v>2</v>
      </c>
    </row>
    <row r="5" spans="1:24" x14ac:dyDescent="0.2">
      <c r="A5" s="4" t="s">
        <v>3</v>
      </c>
    </row>
    <row r="6" spans="1:24" x14ac:dyDescent="0.2">
      <c r="A6" s="3" t="s">
        <v>4</v>
      </c>
    </row>
    <row r="7" spans="1:24" x14ac:dyDescent="0.2">
      <c r="A7" s="3" t="s">
        <v>68</v>
      </c>
    </row>
    <row r="9" spans="1:24" x14ac:dyDescent="0.2">
      <c r="A9" s="1" t="s">
        <v>5</v>
      </c>
      <c r="X9" s="5">
        <v>1</v>
      </c>
    </row>
    <row r="10" spans="1:24" x14ac:dyDescent="0.2">
      <c r="A10" s="49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</row>
    <row r="11" spans="1:24" x14ac:dyDescent="0.2">
      <c r="A11" s="50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</row>
    <row r="12" spans="1:24" x14ac:dyDescent="0.2">
      <c r="A12" s="50" t="s">
        <v>6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6" t="s">
        <v>7</v>
      </c>
      <c r="X12" s="7" t="s">
        <v>8</v>
      </c>
    </row>
    <row r="13" spans="1:24" ht="12.75" customHeight="1" x14ac:dyDescent="0.2">
      <c r="A13" s="50"/>
      <c r="B13" s="77" t="s">
        <v>9</v>
      </c>
      <c r="C13" s="77" t="s">
        <v>10</v>
      </c>
      <c r="D13" s="77" t="s">
        <v>11</v>
      </c>
      <c r="E13" s="77" t="s">
        <v>12</v>
      </c>
      <c r="F13" s="77" t="s">
        <v>49</v>
      </c>
      <c r="G13" s="77" t="s">
        <v>50</v>
      </c>
      <c r="H13" s="77" t="s">
        <v>51</v>
      </c>
      <c r="I13" s="77" t="s">
        <v>52</v>
      </c>
      <c r="J13" s="77" t="s">
        <v>54</v>
      </c>
      <c r="K13" s="77" t="s">
        <v>55</v>
      </c>
      <c r="L13" s="77" t="s">
        <v>56</v>
      </c>
      <c r="M13" s="77" t="s">
        <v>57</v>
      </c>
      <c r="N13" s="77" t="s">
        <v>58</v>
      </c>
      <c r="O13" s="77" t="s">
        <v>59</v>
      </c>
      <c r="P13" s="77" t="s">
        <v>60</v>
      </c>
      <c r="Q13" s="77" t="s">
        <v>61</v>
      </c>
      <c r="R13" s="77" t="s">
        <v>64</v>
      </c>
      <c r="S13" s="77" t="s">
        <v>65</v>
      </c>
      <c r="T13" s="77" t="s">
        <v>66</v>
      </c>
      <c r="U13" s="77" t="s">
        <v>67</v>
      </c>
      <c r="V13" s="8" t="s">
        <v>8</v>
      </c>
      <c r="W13" s="9" t="s">
        <v>13</v>
      </c>
      <c r="X13" s="10"/>
    </row>
    <row r="14" spans="1:24" x14ac:dyDescent="0.2">
      <c r="A14" s="50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11" t="s">
        <v>14</v>
      </c>
      <c r="W14" s="9" t="s">
        <v>15</v>
      </c>
      <c r="X14" s="12"/>
    </row>
    <row r="15" spans="1:24" x14ac:dyDescent="0.2">
      <c r="A15" s="50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11" t="s">
        <v>16</v>
      </c>
      <c r="W15" s="13" t="s">
        <v>17</v>
      </c>
      <c r="X15" s="14"/>
    </row>
    <row r="16" spans="1:24" x14ac:dyDescent="0.2">
      <c r="A16" s="51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15" t="s">
        <v>18</v>
      </c>
      <c r="W16" s="16" t="s">
        <v>19</v>
      </c>
      <c r="X16" s="15" t="s">
        <v>20</v>
      </c>
    </row>
    <row r="17" spans="1:29" x14ac:dyDescent="0.2">
      <c r="A17" s="17" t="s">
        <v>21</v>
      </c>
      <c r="B17" s="18">
        <f>B18+B22+B26</f>
        <v>5850761.0999999996</v>
      </c>
      <c r="C17" s="18">
        <f>C18+C22+C26</f>
        <v>6003850.5300000003</v>
      </c>
      <c r="D17" s="18">
        <f t="shared" ref="D17:H17" si="0">D18+D22+D26</f>
        <v>6174646.7499999991</v>
      </c>
      <c r="E17" s="18">
        <f t="shared" si="0"/>
        <v>6706915.0099999998</v>
      </c>
      <c r="F17" s="18">
        <f t="shared" si="0"/>
        <v>6302428.9399999995</v>
      </c>
      <c r="G17" s="18">
        <f t="shared" si="0"/>
        <v>6288482.1200000001</v>
      </c>
      <c r="H17" s="18">
        <f t="shared" si="0"/>
        <v>6442981.5499999989</v>
      </c>
      <c r="I17" s="18">
        <f>I18+I22+I26</f>
        <v>6433385.1500000004</v>
      </c>
      <c r="J17" s="18">
        <f>J18+J22+J26</f>
        <v>6504630.4299999997</v>
      </c>
      <c r="K17" s="18">
        <f>K18+K22+K26</f>
        <v>6598644.9299999997</v>
      </c>
      <c r="L17" s="18">
        <f>L18+L22+L26</f>
        <v>6843540.3099999996</v>
      </c>
      <c r="M17" s="18">
        <f>M18+M22+M26</f>
        <v>6489397.0199999996</v>
      </c>
      <c r="N17" s="18">
        <f t="shared" ref="N17:T17" si="1">N18+N22+N26</f>
        <v>7536196.6400000006</v>
      </c>
      <c r="O17" s="18">
        <f t="shared" si="1"/>
        <v>8117521.6100000003</v>
      </c>
      <c r="P17" s="18">
        <f t="shared" si="1"/>
        <v>8574051.8200000022</v>
      </c>
      <c r="Q17" s="18">
        <f t="shared" si="1"/>
        <v>8537432.7300000004</v>
      </c>
      <c r="R17" s="18">
        <f t="shared" si="1"/>
        <v>8440112.9700000007</v>
      </c>
      <c r="S17" s="18">
        <f t="shared" si="1"/>
        <v>8579500.0900000017</v>
      </c>
      <c r="T17" s="18">
        <f t="shared" si="1"/>
        <v>8552022.4200000018</v>
      </c>
      <c r="U17" s="18">
        <f>U18+U22+U26</f>
        <v>8766068.4900000021</v>
      </c>
      <c r="V17" s="61">
        <f>SUM(J17:U17)</f>
        <v>93539119.460000008</v>
      </c>
      <c r="W17" s="22">
        <f>W18+W22+W26</f>
        <v>1424944.15</v>
      </c>
      <c r="X17" s="19">
        <f>V17+W17</f>
        <v>94964063.610000014</v>
      </c>
    </row>
    <row r="18" spans="1:29" x14ac:dyDescent="0.2">
      <c r="A18" s="20" t="s">
        <v>22</v>
      </c>
      <c r="B18" s="21">
        <f>B19+B20</f>
        <v>5695447.54</v>
      </c>
      <c r="C18" s="21">
        <f>C19+C20</f>
        <v>5848536.9700000007</v>
      </c>
      <c r="D18" s="21">
        <f t="shared" ref="D18:M18" si="2">D19+D20</f>
        <v>6019333.1899999995</v>
      </c>
      <c r="E18" s="21">
        <f t="shared" si="2"/>
        <v>6541893.1299999999</v>
      </c>
      <c r="F18" s="21">
        <f t="shared" si="2"/>
        <v>6144688.2999999998</v>
      </c>
      <c r="G18" s="21">
        <f t="shared" si="2"/>
        <v>6130741.4800000004</v>
      </c>
      <c r="H18" s="21">
        <f t="shared" si="2"/>
        <v>6285240.9099999992</v>
      </c>
      <c r="I18" s="21">
        <f t="shared" si="2"/>
        <v>6271663.3799999999</v>
      </c>
      <c r="J18" s="21">
        <f t="shared" si="2"/>
        <v>6329431.8399999999</v>
      </c>
      <c r="K18" s="21">
        <f t="shared" si="2"/>
        <v>6423446.3399999999</v>
      </c>
      <c r="L18" s="21">
        <f t="shared" si="2"/>
        <v>6814264.3799999999</v>
      </c>
      <c r="M18" s="21">
        <f t="shared" si="2"/>
        <v>6157726.9399999995</v>
      </c>
      <c r="N18" s="21">
        <f t="shared" ref="N18:U18" si="3">N19+N20</f>
        <v>7356542.0100000007</v>
      </c>
      <c r="O18" s="27">
        <f t="shared" si="3"/>
        <v>7937866.9800000004</v>
      </c>
      <c r="P18" s="27">
        <f t="shared" si="3"/>
        <v>8394397.1900000013</v>
      </c>
      <c r="Q18" s="27">
        <f t="shared" si="3"/>
        <v>8357778.1000000006</v>
      </c>
      <c r="R18" s="27">
        <f t="shared" si="3"/>
        <v>8260458.3399999999</v>
      </c>
      <c r="S18" s="27">
        <f t="shared" si="3"/>
        <v>8399845.4600000009</v>
      </c>
      <c r="T18" s="27">
        <f t="shared" si="3"/>
        <v>8372367.790000001</v>
      </c>
      <c r="U18" s="27">
        <f t="shared" si="3"/>
        <v>8586413.8600000013</v>
      </c>
      <c r="V18" s="66">
        <f>SUM(J18:U18)</f>
        <v>91390539.230000019</v>
      </c>
      <c r="W18" s="22">
        <f t="shared" ref="W18" si="4">W19+W20</f>
        <v>1424944.15</v>
      </c>
      <c r="X18" s="19">
        <f>V18+W18</f>
        <v>92815483.380000025</v>
      </c>
    </row>
    <row r="19" spans="1:29" x14ac:dyDescent="0.2">
      <c r="A19" s="20" t="s">
        <v>23</v>
      </c>
      <c r="B19" s="21">
        <f>3711871.73+625750.77+447350.62+52614.81+76989.37+28282.96</f>
        <v>4942860.26</v>
      </c>
      <c r="C19" s="21">
        <f>3809541.48+623793.42+592534.57+55099.38+2111.46+293.6</f>
        <v>5083373.91</v>
      </c>
      <c r="D19" s="21">
        <f>3607222.44+623793.42+892534.56+55099.38+11845.88+42161.37</f>
        <v>5232657.05</v>
      </c>
      <c r="E19" s="21">
        <f>3460503.06+684686.88+1445866.72+55099.38+23489.95</f>
        <v>5669645.9900000002</v>
      </c>
      <c r="F19" s="21">
        <f>3855732.86+635191.4+771091.79+53890.69+10009.85</f>
        <v>5325916.59</v>
      </c>
      <c r="G19" s="21">
        <f>3746187.44+635191.4+850093.88+53890.69+20388.98+7496.83</f>
        <v>5313249.2200000007</v>
      </c>
      <c r="H19" s="21">
        <f>971091.79+53890.69+3716943.7+630456.19+93901.8+1442.92</f>
        <v>5467727.0899999989</v>
      </c>
      <c r="I19" s="21">
        <f>1189726.22+53605.37+3543868.38+649057.92+8758.5+226.33</f>
        <v>5445242.7199999997</v>
      </c>
      <c r="J19" s="21">
        <f>1195571.38+53434.4+3585675.23+649057.92+2714.76</f>
        <v>5486453.6899999995</v>
      </c>
      <c r="K19" s="21">
        <f>3892907.38+468020.68+978748.34+234751.9+1767.04</f>
        <v>5576195.3399999999</v>
      </c>
      <c r="L19" s="21">
        <f>4293617.49+22151.39+758976.76+7688.4</f>
        <v>5082434.04</v>
      </c>
      <c r="M19" s="21">
        <f>479588.11+678068.16+4155617.32+42006.51</f>
        <v>5355280.0999999996</v>
      </c>
      <c r="N19" s="21">
        <f>SUM(3222503.67+720831.03+2129686.1+79534.12+14907.03+135133.97)</f>
        <v>6302595.9200000009</v>
      </c>
      <c r="O19" s="27">
        <f>1797732.6+807195.56+4211371.23+50505.65+9316.89</f>
        <v>6876121.9300000006</v>
      </c>
      <c r="P19" s="27">
        <f>SUM(4170377.66+0+2152207.84+1008758.03)-433.85</f>
        <v>7330909.6800000006</v>
      </c>
      <c r="Q19" s="27">
        <f>SUM(1985884.29+1049456.54+4222137.25)+5372.45</f>
        <v>7262850.5300000003</v>
      </c>
      <c r="R19" s="27">
        <f>3119608.81+966818.99+3004504.03+77591.51+3527.44</f>
        <v>7172050.7800000003</v>
      </c>
      <c r="S19" s="27">
        <f>5627749.54+1048334.82+560569.07+6052.84+46338.09+19346.46</f>
        <v>7308390.8200000003</v>
      </c>
      <c r="T19" s="27">
        <f>5634393.34+1073150.49+560569.07+12385.86+3347.13</f>
        <v>7283845.8900000006</v>
      </c>
      <c r="U19" s="27">
        <f>SUM(5683463.29+1047198.52+719993.29+12385.86)+14660.9</f>
        <v>7477701.8600000013</v>
      </c>
      <c r="V19" s="61">
        <f>SUM(J19:U19)</f>
        <v>78514830.579999998</v>
      </c>
      <c r="W19" s="22">
        <v>1325944.1499999999</v>
      </c>
      <c r="X19" s="19">
        <f>V19+W19</f>
        <v>79840774.730000004</v>
      </c>
      <c r="AA19" s="55"/>
      <c r="AB19" s="55"/>
    </row>
    <row r="20" spans="1:29" x14ac:dyDescent="0.2">
      <c r="A20" s="20" t="s">
        <v>24</v>
      </c>
      <c r="B20" s="21">
        <f>45735.57+706851.71</f>
        <v>752587.27999999991</v>
      </c>
      <c r="C20" s="21">
        <f>60224.41+704938.65</f>
        <v>765163.06</v>
      </c>
      <c r="D20" s="21">
        <f>80763.2+705912.94</f>
        <v>786676.1399999999</v>
      </c>
      <c r="E20" s="21">
        <f>93858.12+778389.02</f>
        <v>872247.14</v>
      </c>
      <c r="F20" s="21">
        <f>90158.68+728613.03</f>
        <v>818771.71</v>
      </c>
      <c r="G20" s="21">
        <f>89025.19+728467.07</f>
        <v>817492.26</v>
      </c>
      <c r="H20" s="21">
        <f>87876+729637.82</f>
        <v>817513.82</v>
      </c>
      <c r="I20" s="21">
        <f>76709.6+749711.06</f>
        <v>826420.66</v>
      </c>
      <c r="J20" s="21">
        <f>92080.16+750897.99</f>
        <v>842978.15</v>
      </c>
      <c r="K20" s="21">
        <f>94119.5 +753131.5</f>
        <v>847251</v>
      </c>
      <c r="L20" s="21">
        <f>95980+759616.43+81000+795233.91</f>
        <v>1731830.34</v>
      </c>
      <c r="M20" s="21">
        <f>-125.85-1270.8+803843.49</f>
        <v>802446.84</v>
      </c>
      <c r="N20" s="21">
        <f>100357.62+953588.47+0+0</f>
        <v>1053946.0899999999</v>
      </c>
      <c r="O20" s="27">
        <f>99925.44+961819.61</f>
        <v>1061745.05</v>
      </c>
      <c r="P20" s="27">
        <f>SUM(104381.68+959105.83)</f>
        <v>1063487.51</v>
      </c>
      <c r="Q20" s="27">
        <f>SUM(107815.57+987112)</f>
        <v>1094927.57</v>
      </c>
      <c r="R20" s="27">
        <f>SUM(111272.57+977134.99)</f>
        <v>1088407.56</v>
      </c>
      <c r="S20" s="27">
        <f>SUM(109998.55+981456.09)</f>
        <v>1091454.6399999999</v>
      </c>
      <c r="T20" s="27">
        <f>109923.87+978598.03</f>
        <v>1088521.8999999999</v>
      </c>
      <c r="U20" s="27">
        <f>114317.11+994394.89</f>
        <v>1108712</v>
      </c>
      <c r="V20" s="61">
        <f>SUM(J20:U20)</f>
        <v>12875708.65</v>
      </c>
      <c r="W20" s="22">
        <v>99000</v>
      </c>
      <c r="X20" s="19">
        <f>V20+W20</f>
        <v>12974708.65</v>
      </c>
      <c r="AA20" s="55"/>
      <c r="AB20" s="55"/>
    </row>
    <row r="21" spans="1:29" s="25" customFormat="1" ht="11.25" hidden="1" customHeight="1" x14ac:dyDescent="0.2">
      <c r="A21" s="20" t="s">
        <v>25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7"/>
      <c r="P21" s="27"/>
      <c r="Q21" s="27"/>
      <c r="R21" s="27"/>
      <c r="S21" s="27"/>
      <c r="T21" s="27"/>
      <c r="U21" s="27"/>
      <c r="V21" s="61">
        <f t="shared" ref="V21" si="5">SUM(B21:M21)</f>
        <v>0</v>
      </c>
      <c r="W21" s="23"/>
      <c r="X21" s="24"/>
      <c r="Z21" s="55"/>
      <c r="AA21" s="55"/>
      <c r="AB21" s="56"/>
    </row>
    <row r="22" spans="1:29" s="28" customFormat="1" ht="9.75" x14ac:dyDescent="0.2">
      <c r="A22" s="26" t="s">
        <v>26</v>
      </c>
      <c r="B22" s="21">
        <f t="shared" ref="B22:E22" si="6">SUM(B23:B24)</f>
        <v>155313.56</v>
      </c>
      <c r="C22" s="21">
        <f t="shared" si="6"/>
        <v>155313.56</v>
      </c>
      <c r="D22" s="21">
        <f t="shared" si="6"/>
        <v>155313.56</v>
      </c>
      <c r="E22" s="21">
        <f t="shared" si="6"/>
        <v>165021.88</v>
      </c>
      <c r="F22" s="21">
        <f t="shared" ref="F22:I22" si="7">SUM(F23:F24)</f>
        <v>157740.64000000001</v>
      </c>
      <c r="G22" s="21">
        <f t="shared" si="7"/>
        <v>157740.64000000001</v>
      </c>
      <c r="H22" s="21">
        <f t="shared" si="7"/>
        <v>157740.64000000001</v>
      </c>
      <c r="I22" s="21">
        <f t="shared" si="7"/>
        <v>161721.77000000002</v>
      </c>
      <c r="J22" s="21">
        <f>SUM(J23:J24)</f>
        <v>175198.59</v>
      </c>
      <c r="K22" s="21">
        <f>SUM(K23:K24)</f>
        <v>175198.59</v>
      </c>
      <c r="L22" s="21">
        <f>SUM(L23:L24)</f>
        <v>29275.93</v>
      </c>
      <c r="M22" s="21">
        <f>SUM(M23:M24)</f>
        <v>331670.08</v>
      </c>
      <c r="N22" s="21">
        <f>SUM(N23:N24)</f>
        <v>179654.63</v>
      </c>
      <c r="O22" s="27">
        <f t="shared" ref="O22:U22" si="8">SUM(O23:O24)</f>
        <v>179654.63</v>
      </c>
      <c r="P22" s="27">
        <f t="shared" si="8"/>
        <v>179654.63</v>
      </c>
      <c r="Q22" s="27">
        <f t="shared" si="8"/>
        <v>179654.63</v>
      </c>
      <c r="R22" s="27">
        <f t="shared" si="8"/>
        <v>179654.63</v>
      </c>
      <c r="S22" s="27">
        <f>SUM(S23:S24)</f>
        <v>179654.63</v>
      </c>
      <c r="T22" s="27">
        <f t="shared" si="8"/>
        <v>179654.63</v>
      </c>
      <c r="U22" s="27">
        <f t="shared" si="8"/>
        <v>179654.63</v>
      </c>
      <c r="V22" s="61">
        <f>SUM(J22:U22)</f>
        <v>2148580.2299999995</v>
      </c>
      <c r="W22" s="64">
        <v>0</v>
      </c>
      <c r="X22" s="19">
        <f>V22+W22</f>
        <v>2148580.2299999995</v>
      </c>
      <c r="Z22" s="56"/>
      <c r="AA22" s="56"/>
      <c r="AB22" s="56"/>
    </row>
    <row r="23" spans="1:29" s="28" customFormat="1" ht="9.75" x14ac:dyDescent="0.2">
      <c r="A23" s="26" t="s">
        <v>27</v>
      </c>
      <c r="B23" s="21">
        <v>139068.10999999999</v>
      </c>
      <c r="C23" s="21">
        <v>139068.10999999999</v>
      </c>
      <c r="D23" s="21">
        <v>139068.10999999999</v>
      </c>
      <c r="E23" s="21">
        <v>148776.43</v>
      </c>
      <c r="F23" s="21">
        <v>141495.19</v>
      </c>
      <c r="G23" s="21">
        <v>141495.19</v>
      </c>
      <c r="H23" s="21">
        <v>141495.19</v>
      </c>
      <c r="I23" s="21">
        <v>145476.32</v>
      </c>
      <c r="J23" s="21">
        <v>157599.35</v>
      </c>
      <c r="K23" s="21">
        <v>157599.35</v>
      </c>
      <c r="L23" s="72">
        <v>26568.38</v>
      </c>
      <c r="M23" s="21">
        <f>149589.59*2</f>
        <v>299179.18</v>
      </c>
      <c r="N23" s="71">
        <v>162055.39000000001</v>
      </c>
      <c r="O23" s="71">
        <v>162055.39000000001</v>
      </c>
      <c r="P23" s="71">
        <v>162055.39000000001</v>
      </c>
      <c r="Q23" s="71">
        <v>162055.39000000001</v>
      </c>
      <c r="R23" s="71">
        <v>162055.39000000001</v>
      </c>
      <c r="S23" s="71">
        <v>162055.39000000001</v>
      </c>
      <c r="T23" s="71">
        <v>162055.39000000001</v>
      </c>
      <c r="U23" s="71">
        <v>162055.39000000001</v>
      </c>
      <c r="V23" s="61">
        <f>SUM(J23:U23)</f>
        <v>1937389.3800000008</v>
      </c>
      <c r="W23" s="64">
        <v>0</v>
      </c>
      <c r="X23" s="19">
        <f>V23+W23</f>
        <v>1937389.3800000008</v>
      </c>
      <c r="Z23" s="56"/>
      <c r="AA23" s="56"/>
      <c r="AB23" s="55"/>
    </row>
    <row r="24" spans="1:29" s="28" customFormat="1" ht="9.75" x14ac:dyDescent="0.2">
      <c r="A24" s="26" t="s">
        <v>28</v>
      </c>
      <c r="B24" s="21">
        <v>16245.45</v>
      </c>
      <c r="C24" s="21">
        <v>16245.45</v>
      </c>
      <c r="D24" s="21">
        <v>16245.45</v>
      </c>
      <c r="E24" s="21">
        <v>16245.45</v>
      </c>
      <c r="F24" s="21">
        <v>16245.45</v>
      </c>
      <c r="G24" s="21">
        <v>16245.45</v>
      </c>
      <c r="H24" s="21">
        <v>16245.45</v>
      </c>
      <c r="I24" s="21">
        <v>16245.45</v>
      </c>
      <c r="J24" s="21">
        <v>17599.240000000002</v>
      </c>
      <c r="K24" s="21">
        <v>17599.240000000002</v>
      </c>
      <c r="L24" s="72">
        <v>2707.55</v>
      </c>
      <c r="M24" s="21">
        <f>16245.45*2</f>
        <v>32490.9</v>
      </c>
      <c r="N24" s="71">
        <v>17599.240000000002</v>
      </c>
      <c r="O24" s="71">
        <v>17599.240000000002</v>
      </c>
      <c r="P24" s="71">
        <v>17599.240000000002</v>
      </c>
      <c r="Q24" s="71">
        <v>17599.240000000002</v>
      </c>
      <c r="R24" s="71">
        <v>17599.240000000002</v>
      </c>
      <c r="S24" s="71">
        <v>17599.240000000002</v>
      </c>
      <c r="T24" s="71">
        <v>17599.240000000002</v>
      </c>
      <c r="U24" s="71">
        <v>17599.240000000002</v>
      </c>
      <c r="V24" s="61">
        <f>SUM(J24:U24)</f>
        <v>211190.84999999998</v>
      </c>
      <c r="W24" s="64">
        <v>0</v>
      </c>
      <c r="X24" s="19">
        <f>V24+W24</f>
        <v>211190.84999999998</v>
      </c>
      <c r="Z24" s="56"/>
      <c r="AA24" s="56"/>
      <c r="AB24" s="55"/>
    </row>
    <row r="25" spans="1:29" hidden="1" x14ac:dyDescent="0.2">
      <c r="A25" s="26" t="s">
        <v>29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7"/>
      <c r="P25" s="27"/>
      <c r="Q25" s="27"/>
      <c r="R25" s="27"/>
      <c r="S25" s="27"/>
      <c r="T25" s="27"/>
      <c r="U25" s="27"/>
      <c r="V25" s="62"/>
      <c r="W25" s="27"/>
      <c r="X25" s="29"/>
      <c r="AA25" s="55"/>
      <c r="AB25" s="55"/>
    </row>
    <row r="26" spans="1:29" ht="19.5" x14ac:dyDescent="0.2">
      <c r="A26" s="30" t="s">
        <v>30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7"/>
      <c r="P26" s="27"/>
      <c r="Q26" s="27"/>
      <c r="R26" s="27"/>
      <c r="S26" s="27"/>
      <c r="T26" s="27"/>
      <c r="U26" s="27"/>
      <c r="V26" s="63"/>
      <c r="W26" s="23"/>
      <c r="X26" s="31"/>
      <c r="AA26" s="55"/>
      <c r="AB26" s="55"/>
    </row>
    <row r="27" spans="1:29" x14ac:dyDescent="0.2">
      <c r="A27" s="30" t="s">
        <v>31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7"/>
      <c r="P27" s="27"/>
      <c r="Q27" s="27"/>
      <c r="R27" s="27"/>
      <c r="S27" s="27"/>
      <c r="T27" s="27"/>
      <c r="U27" s="27"/>
      <c r="V27" s="63"/>
      <c r="W27" s="23"/>
      <c r="X27" s="31"/>
      <c r="AA27" s="55"/>
      <c r="AB27" s="54"/>
    </row>
    <row r="28" spans="1:29" x14ac:dyDescent="0.2">
      <c r="A28" s="17" t="s">
        <v>32</v>
      </c>
      <c r="B28" s="27">
        <f>SUM(B29:B32)</f>
        <v>158603.63</v>
      </c>
      <c r="C28" s="27">
        <f>SUM(C29:C32)</f>
        <v>55736.36</v>
      </c>
      <c r="D28" s="27">
        <f t="shared" ref="D28:H28" si="9">SUM(D29:D32)</f>
        <v>107338.55</v>
      </c>
      <c r="E28" s="27">
        <f t="shared" si="9"/>
        <v>81918.25</v>
      </c>
      <c r="F28" s="27">
        <f t="shared" si="9"/>
        <v>64615.4</v>
      </c>
      <c r="G28" s="27">
        <f t="shared" si="9"/>
        <v>82491.360000000001</v>
      </c>
      <c r="H28" s="27">
        <f t="shared" si="9"/>
        <v>148507.35</v>
      </c>
      <c r="I28" s="27">
        <f>SUM(I29:I32)</f>
        <v>65395.33</v>
      </c>
      <c r="J28" s="27">
        <f>SUM(J29:J32)</f>
        <v>59125.26</v>
      </c>
      <c r="K28" s="27">
        <f>SUM(K29:K32)</f>
        <v>58177.54</v>
      </c>
      <c r="L28" s="27">
        <f>SUM(L29:L32)</f>
        <v>64098.9</v>
      </c>
      <c r="M28" s="27">
        <f>SUM(M29:M32)</f>
        <v>116550.9</v>
      </c>
      <c r="N28" s="27">
        <f t="shared" ref="N28:S28" si="10">SUM(N29:N32)</f>
        <v>208165.25</v>
      </c>
      <c r="O28" s="27">
        <f t="shared" si="10"/>
        <v>117946.79000000001</v>
      </c>
      <c r="P28" s="27">
        <f t="shared" si="10"/>
        <v>57690.400000000001</v>
      </c>
      <c r="Q28" s="27">
        <f t="shared" si="10"/>
        <v>63496.7</v>
      </c>
      <c r="R28" s="27">
        <f t="shared" si="10"/>
        <v>61621.440000000002</v>
      </c>
      <c r="S28" s="27">
        <f t="shared" si="10"/>
        <v>83493.3</v>
      </c>
      <c r="T28" s="27">
        <f>SUM(T29:T32)</f>
        <v>61441.13</v>
      </c>
      <c r="U28" s="27">
        <f>SUM(U29:U32)</f>
        <v>72754.899999999994</v>
      </c>
      <c r="V28" s="61">
        <f>SUM(J28:U28)</f>
        <v>1024562.51</v>
      </c>
      <c r="W28" s="64">
        <v>0</v>
      </c>
      <c r="X28" s="19">
        <f>V28+W28</f>
        <v>1024562.51</v>
      </c>
      <c r="AA28" s="55"/>
      <c r="AB28" s="57"/>
      <c r="AC28" s="54"/>
    </row>
    <row r="29" spans="1:29" x14ac:dyDescent="0.2">
      <c r="A29" s="48" t="s">
        <v>33</v>
      </c>
      <c r="B29" s="21">
        <v>76989.37</v>
      </c>
      <c r="C29" s="21">
        <v>2111.46</v>
      </c>
      <c r="D29" s="21">
        <v>11845.88</v>
      </c>
      <c r="E29" s="21">
        <v>23489.95</v>
      </c>
      <c r="F29" s="27">
        <v>10009.85</v>
      </c>
      <c r="G29" s="27">
        <v>20388.98</v>
      </c>
      <c r="H29" s="27">
        <v>93901.8</v>
      </c>
      <c r="I29" s="27">
        <v>8758.5</v>
      </c>
      <c r="J29" s="27">
        <v>2714.76</v>
      </c>
      <c r="K29" s="27">
        <v>1767.04</v>
      </c>
      <c r="L29" s="27">
        <v>7688.4</v>
      </c>
      <c r="M29" s="27">
        <v>0</v>
      </c>
      <c r="N29" s="27">
        <v>14907.03</v>
      </c>
      <c r="O29" s="27">
        <f>50505.65</f>
        <v>50505.65</v>
      </c>
      <c r="P29" s="27">
        <v>-433.85</v>
      </c>
      <c r="Q29" s="27">
        <v>5372.45</v>
      </c>
      <c r="R29" s="27">
        <v>3527.44</v>
      </c>
      <c r="S29" s="27">
        <v>6052.84</v>
      </c>
      <c r="T29" s="27">
        <v>3347.13</v>
      </c>
      <c r="U29" s="27">
        <v>14660.9</v>
      </c>
      <c r="V29" s="61">
        <f>SUM(J29:U29)</f>
        <v>110109.79</v>
      </c>
      <c r="W29" s="64">
        <v>0</v>
      </c>
      <c r="X29" s="19">
        <f>V29+W29</f>
        <v>110109.79</v>
      </c>
      <c r="AA29" s="54"/>
      <c r="AB29" s="54"/>
    </row>
    <row r="30" spans="1:29" x14ac:dyDescent="0.2">
      <c r="A30" s="32" t="s">
        <v>34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63"/>
      <c r="W30" s="64"/>
      <c r="X30" s="33"/>
      <c r="AA30" s="42"/>
    </row>
    <row r="31" spans="1:29" x14ac:dyDescent="0.2">
      <c r="A31" s="32" t="s">
        <v>35</v>
      </c>
      <c r="B31" s="21">
        <v>28282.959999999999</v>
      </c>
      <c r="C31" s="21">
        <v>293.60000000000002</v>
      </c>
      <c r="D31" s="21">
        <v>42161.37</v>
      </c>
      <c r="E31" s="21">
        <v>0</v>
      </c>
      <c r="F31" s="46">
        <v>0</v>
      </c>
      <c r="G31" s="21">
        <v>7496.83</v>
      </c>
      <c r="H31" s="21">
        <v>0</v>
      </c>
      <c r="I31" s="21">
        <v>226.33</v>
      </c>
      <c r="J31" s="21">
        <v>0</v>
      </c>
      <c r="K31" s="21">
        <v>0</v>
      </c>
      <c r="L31" s="21">
        <v>0</v>
      </c>
      <c r="M31" s="21">
        <v>0</v>
      </c>
      <c r="N31" s="21">
        <f>SUM(96559.55+38574.42)</f>
        <v>135133.97</v>
      </c>
      <c r="O31" s="27">
        <v>9316.89</v>
      </c>
      <c r="P31" s="27">
        <v>0</v>
      </c>
      <c r="Q31" s="27">
        <v>0</v>
      </c>
      <c r="R31" s="27">
        <v>0</v>
      </c>
      <c r="S31" s="27">
        <v>19346.46</v>
      </c>
      <c r="T31" s="27">
        <v>0</v>
      </c>
      <c r="U31" s="27">
        <v>0</v>
      </c>
      <c r="V31" s="61">
        <f>SUM(J31:U31)</f>
        <v>163797.31999999998</v>
      </c>
      <c r="W31" s="64">
        <v>0</v>
      </c>
      <c r="X31" s="19">
        <f>V31+W31</f>
        <v>163797.31999999998</v>
      </c>
    </row>
    <row r="32" spans="1:29" x14ac:dyDescent="0.2">
      <c r="A32" s="34" t="s">
        <v>36</v>
      </c>
      <c r="B32" s="35">
        <f>51565.98+1765.32</f>
        <v>53331.3</v>
      </c>
      <c r="C32" s="35">
        <f>51565.98+1765.32</f>
        <v>53331.3</v>
      </c>
      <c r="D32" s="35">
        <f>51565.98+1765.32</f>
        <v>53331.3</v>
      </c>
      <c r="E32" s="36">
        <f>56662.98+1765.32</f>
        <v>58428.3</v>
      </c>
      <c r="F32" s="36">
        <f>1765.32+52840.23</f>
        <v>54605.55</v>
      </c>
      <c r="G32" s="36">
        <f>52840.23+1765.32</f>
        <v>54605.55</v>
      </c>
      <c r="H32" s="36">
        <f>52840.23+1765.32</f>
        <v>54605.55</v>
      </c>
      <c r="I32" s="36">
        <f>54645.18+1765.32</f>
        <v>56410.5</v>
      </c>
      <c r="J32" s="36">
        <f>54645.18+1765.32</f>
        <v>56410.5</v>
      </c>
      <c r="K32" s="36">
        <f>54645.18+1765.32</f>
        <v>56410.5</v>
      </c>
      <c r="L32" s="36">
        <f>1765.32+54645.18</f>
        <v>56410.5</v>
      </c>
      <c r="M32" s="36">
        <f>(1765.32+56510.13)*2</f>
        <v>116550.9</v>
      </c>
      <c r="N32" s="36">
        <f>56396.73+1727.52</f>
        <v>58124.25</v>
      </c>
      <c r="O32" s="36">
        <f>56396.73+1727.52</f>
        <v>58124.25</v>
      </c>
      <c r="P32" s="36">
        <f>56396.73+1727.52</f>
        <v>58124.25</v>
      </c>
      <c r="Q32" s="36">
        <f>56396.73+1727.52</f>
        <v>58124.25</v>
      </c>
      <c r="R32" s="36">
        <f>56374.05+1719.95</f>
        <v>58094</v>
      </c>
      <c r="S32" s="36">
        <f>56374.05+1719.95</f>
        <v>58094</v>
      </c>
      <c r="T32" s="36">
        <f>56374.05+1719.95</f>
        <v>58094</v>
      </c>
      <c r="U32" s="36">
        <f>56374.05+1719.95</f>
        <v>58094</v>
      </c>
      <c r="V32" s="61">
        <f>SUM(J32:U32)</f>
        <v>750655.4</v>
      </c>
      <c r="W32" s="65">
        <v>0</v>
      </c>
      <c r="X32" s="37">
        <f>V32+W32</f>
        <v>750655.4</v>
      </c>
    </row>
    <row r="33" spans="1:24" x14ac:dyDescent="0.2">
      <c r="A33" s="38" t="s">
        <v>37</v>
      </c>
      <c r="B33" s="39">
        <f t="shared" ref="B33:E33" si="11">B17-B28</f>
        <v>5692157.4699999997</v>
      </c>
      <c r="C33" s="39">
        <f t="shared" si="11"/>
        <v>5948114.1699999999</v>
      </c>
      <c r="D33" s="39">
        <f t="shared" si="11"/>
        <v>6067308.1999999993</v>
      </c>
      <c r="E33" s="39">
        <f t="shared" si="11"/>
        <v>6624996.7599999998</v>
      </c>
      <c r="F33" s="39">
        <f t="shared" ref="F33:H33" si="12">F17-F28</f>
        <v>6237813.5399999991</v>
      </c>
      <c r="G33" s="39">
        <f t="shared" si="12"/>
        <v>6205990.7599999998</v>
      </c>
      <c r="H33" s="39">
        <f t="shared" si="12"/>
        <v>6294474.1999999993</v>
      </c>
      <c r="I33" s="39">
        <f t="shared" ref="I33:W33" si="13">I17-I28</f>
        <v>6367989.8200000003</v>
      </c>
      <c r="J33" s="39">
        <f t="shared" si="13"/>
        <v>6445505.1699999999</v>
      </c>
      <c r="K33" s="39">
        <f t="shared" si="13"/>
        <v>6540467.3899999997</v>
      </c>
      <c r="L33" s="39">
        <f t="shared" si="13"/>
        <v>6779441.4099999992</v>
      </c>
      <c r="M33" s="39">
        <f t="shared" si="13"/>
        <v>6372846.1199999992</v>
      </c>
      <c r="N33" s="39">
        <f t="shared" ref="N33:U33" si="14">N17-N28</f>
        <v>7328031.3900000006</v>
      </c>
      <c r="O33" s="39">
        <f t="shared" si="14"/>
        <v>7999574.8200000003</v>
      </c>
      <c r="P33" s="39">
        <f t="shared" si="14"/>
        <v>8516361.4200000018</v>
      </c>
      <c r="Q33" s="39">
        <f t="shared" si="14"/>
        <v>8473936.0300000012</v>
      </c>
      <c r="R33" s="39">
        <f t="shared" si="14"/>
        <v>8378491.5300000003</v>
      </c>
      <c r="S33" s="39">
        <f t="shared" si="14"/>
        <v>8496006.790000001</v>
      </c>
      <c r="T33" s="39">
        <f t="shared" si="14"/>
        <v>8490581.290000001</v>
      </c>
      <c r="U33" s="70">
        <f t="shared" si="14"/>
        <v>8693313.5900000017</v>
      </c>
      <c r="V33" s="67">
        <f>V17-V28</f>
        <v>92514556.950000003</v>
      </c>
      <c r="W33" s="39">
        <f t="shared" si="13"/>
        <v>1424944.15</v>
      </c>
      <c r="X33" s="39">
        <f>X17-X28</f>
        <v>93939501.100000009</v>
      </c>
    </row>
    <row r="34" spans="1:24" ht="15.6" customHeight="1" x14ac:dyDescent="0.2">
      <c r="A34" s="58" t="s">
        <v>38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60"/>
    </row>
    <row r="35" spans="1:24" ht="9" customHeight="1" x14ac:dyDescent="0.2">
      <c r="A35" s="78" t="s">
        <v>39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spans="1:24" ht="17.100000000000001" hidden="1" customHeight="1" x14ac:dyDescent="0.2">
      <c r="A36" s="3" t="s">
        <v>40</v>
      </c>
    </row>
    <row r="37" spans="1:24" ht="8.4499999999999993" customHeight="1" x14ac:dyDescent="0.2">
      <c r="A37" s="78" t="s">
        <v>41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spans="1:24" ht="9" customHeight="1" x14ac:dyDescent="0.2">
      <c r="A38" s="78" t="s">
        <v>42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spans="1:24" ht="9" customHeight="1" x14ac:dyDescent="0.2">
      <c r="A39" s="78" t="s">
        <v>43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spans="1:24" ht="9" customHeight="1" x14ac:dyDescent="0.2">
      <c r="A40" s="81" t="s">
        <v>63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</row>
    <row r="41" spans="1:24" ht="9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</row>
    <row r="42" spans="1:24" ht="9" customHeight="1" x14ac:dyDescent="0.2">
      <c r="A42" s="78" t="s">
        <v>62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spans="1:24" x14ac:dyDescent="0.2"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59"/>
    </row>
    <row r="44" spans="1:24" x14ac:dyDescent="0.2">
      <c r="A44" s="73" t="s">
        <v>69</v>
      </c>
      <c r="E44" s="41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59"/>
      <c r="W44" s="41"/>
      <c r="X44" s="41"/>
    </row>
    <row r="45" spans="1:24" x14ac:dyDescent="0.2">
      <c r="C45" s="42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59"/>
      <c r="W45" s="41"/>
      <c r="X45" s="41"/>
    </row>
    <row r="46" spans="1:24" x14ac:dyDescent="0.2">
      <c r="C46" s="4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</row>
    <row r="47" spans="1:24" x14ac:dyDescent="0.2">
      <c r="A47" s="41" t="s">
        <v>53</v>
      </c>
      <c r="B47" s="52"/>
      <c r="M47" s="68" t="s">
        <v>44</v>
      </c>
      <c r="N47" s="68"/>
      <c r="O47" s="68"/>
      <c r="P47" s="68"/>
      <c r="Q47" s="68"/>
      <c r="R47" s="68"/>
      <c r="S47" s="52"/>
      <c r="T47" s="79" t="s">
        <v>45</v>
      </c>
      <c r="U47" s="79"/>
      <c r="V47" s="79"/>
    </row>
    <row r="48" spans="1:24" x14ac:dyDescent="0.2">
      <c r="A48" s="43" t="s">
        <v>46</v>
      </c>
      <c r="B48" s="53"/>
      <c r="M48" s="69" t="s">
        <v>47</v>
      </c>
      <c r="N48" s="69"/>
      <c r="O48" s="69"/>
      <c r="P48" s="69"/>
      <c r="Q48" s="69"/>
      <c r="R48" s="69"/>
      <c r="S48" s="53"/>
      <c r="T48" s="80" t="s">
        <v>48</v>
      </c>
      <c r="U48" s="80"/>
      <c r="V48" s="80"/>
    </row>
    <row r="49" spans="1:22" x14ac:dyDescent="0.2">
      <c r="S49" s="47"/>
      <c r="V49" s="1"/>
    </row>
    <row r="51" spans="1:22" ht="15" x14ac:dyDescent="0.2">
      <c r="A51" s="44"/>
    </row>
    <row r="52" spans="1:22" ht="15" x14ac:dyDescent="0.2">
      <c r="A52" s="44"/>
    </row>
  </sheetData>
  <mergeCells count="32">
    <mergeCell ref="A39:X39"/>
    <mergeCell ref="E46:X46"/>
    <mergeCell ref="T47:V47"/>
    <mergeCell ref="T48:V48"/>
    <mergeCell ref="A40:X41"/>
    <mergeCell ref="A42:X42"/>
    <mergeCell ref="A35:X35"/>
    <mergeCell ref="A37:X37"/>
    <mergeCell ref="A38:X38"/>
    <mergeCell ref="I13:I16"/>
    <mergeCell ref="H13:H16"/>
    <mergeCell ref="J13:J16"/>
    <mergeCell ref="K13:K16"/>
    <mergeCell ref="L13:L16"/>
    <mergeCell ref="M13:M16"/>
    <mergeCell ref="N13:N16"/>
    <mergeCell ref="O13:O16"/>
    <mergeCell ref="P13:P16"/>
    <mergeCell ref="Q13:Q16"/>
    <mergeCell ref="R13:R16"/>
    <mergeCell ref="S13:S16"/>
    <mergeCell ref="U13:U16"/>
    <mergeCell ref="B10:X10"/>
    <mergeCell ref="B11:X11"/>
    <mergeCell ref="B12:V12"/>
    <mergeCell ref="B13:B16"/>
    <mergeCell ref="C13:C16"/>
    <mergeCell ref="D13:D16"/>
    <mergeCell ref="E13:E16"/>
    <mergeCell ref="F13:F16"/>
    <mergeCell ref="G13:G16"/>
    <mergeCell ref="T13:T16"/>
  </mergeCells>
  <phoneticPr fontId="8" type="noConversion"/>
  <printOptions horizontalCentered="1"/>
  <pageMargins left="0.59027777777777801" right="0.59027777777777801" top="0.78749999999999998" bottom="0.78749999999999998" header="0.51180555555555496" footer="0.51180555555555496"/>
  <pageSetup paperSize="9" scale="63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1 - Pessoal Defensoria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Edione Bernardino</dc:creator>
  <dc:description/>
  <cp:lastModifiedBy>Rebeca Espirito Santo Abdalla</cp:lastModifiedBy>
  <cp:revision>1</cp:revision>
  <cp:lastPrinted>2023-09-20T18:36:31Z</cp:lastPrinted>
  <dcterms:created xsi:type="dcterms:W3CDTF">2020-01-27T17:36:11Z</dcterms:created>
  <dcterms:modified xsi:type="dcterms:W3CDTF">2023-09-20T18:37:04Z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