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G:\COORDENACAO-GERAL-ADMINISTRACAO\GESTAO-INFRA-MATERIAIS\19. Engenharia\10. ETPs, TRs E ESPECIFICAÇÕES\ETP - CIAADI\Reforma CIAADI - Documentação\Orçamento Estimativo\"/>
    </mc:Choice>
  </mc:AlternateContent>
  <xr:revisionPtr revIDLastSave="0" documentId="13_ncr:1_{41B60098-053A-4361-A022-4C5F1D3D14C7}" xr6:coauthVersionLast="47" xr6:coauthVersionMax="47" xr10:uidLastSave="{00000000-0000-0000-0000-000000000000}"/>
  <bookViews>
    <workbookView xWindow="-120" yWindow="-120" windowWidth="29040" windowHeight="15840" tabRatio="712" xr2:uid="{00000000-000D-0000-FFFF-FFFF00000000}"/>
  </bookViews>
  <sheets>
    <sheet name="PLANILHA ORÇAMENTÁRIA" sheetId="5" r:id="rId1"/>
    <sheet name="BDI" sheetId="2" r:id="rId2"/>
    <sheet name="ENCARGOS SOCIAIS" sheetId="3" r:id="rId3"/>
    <sheet name="COMPOSIÇÕES EDIT" sheetId="6" r:id="rId4"/>
    <sheet name="COTAÇÕES" sheetId="7" r:id="rId5"/>
    <sheet name="CRONOGRAMA EST." sheetId="8" r:id="rId6"/>
    <sheet name="CRONOGRAMA FÍSICO-F EST." sheetId="9" r:id="rId7"/>
  </sheets>
  <externalReferences>
    <externalReference r:id="rId8"/>
  </externalReferences>
  <definedNames>
    <definedName name="_xlnm._FilterDatabase" localSheetId="0" hidden="1">'PLANILHA ORÇAMENTÁRIA'!$D$1:$D$210</definedName>
    <definedName name="_xlnm.Print_Area" localSheetId="1">BDI!$A$1:$L$47</definedName>
    <definedName name="_xlnm.Print_Area" localSheetId="3">'COMPOSIÇÕES EDIT'!$A$1:$J$192</definedName>
    <definedName name="_xlnm.Print_Area" localSheetId="4">COTAÇÕES!$A$1:$F$69</definedName>
    <definedName name="_xlnm.Print_Area" localSheetId="2">'ENCARGOS SOCIAIS'!$A$1:$H$51</definedName>
    <definedName name="_xlnm.Print_Area" localSheetId="0">'PLANILHA ORÇAMENTÁRIA'!$A$1:$I$210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87" i="5" l="1"/>
  <c r="C201" i="5"/>
  <c r="J190" i="6" l="1"/>
  <c r="J192" i="6"/>
  <c r="J191" i="6"/>
  <c r="J189" i="6"/>
  <c r="H141" i="5"/>
  <c r="I141" i="5" s="1"/>
  <c r="D188" i="6" l="1"/>
  <c r="D189" i="6" s="1"/>
  <c r="D191" i="6" l="1"/>
  <c r="D192" i="6" s="1"/>
  <c r="D190" i="6"/>
  <c r="H57" i="5" l="1"/>
  <c r="I57" i="5" s="1"/>
  <c r="E67" i="7" l="1"/>
  <c r="J78" i="6" l="1"/>
  <c r="J77" i="6"/>
  <c r="J76" i="6"/>
  <c r="J75" i="6"/>
  <c r="J74" i="6"/>
  <c r="J73" i="6"/>
  <c r="J72" i="6"/>
  <c r="H171" i="5" l="1"/>
  <c r="I171" i="5" s="1"/>
  <c r="J71" i="6"/>
  <c r="D70" i="6" s="1"/>
  <c r="D71" i="6" l="1"/>
  <c r="D77" i="6" s="1"/>
  <c r="D78" i="6" s="1"/>
  <c r="H170" i="5"/>
  <c r="I170" i="5" s="1"/>
  <c r="H165" i="5"/>
  <c r="I165" i="5" s="1"/>
  <c r="J184" i="6"/>
  <c r="J183" i="6"/>
  <c r="J182" i="6"/>
  <c r="D72" i="6" l="1"/>
  <c r="D73" i="6" s="1"/>
  <c r="D181" i="6"/>
  <c r="D182" i="6" s="1"/>
  <c r="D183" i="6" s="1"/>
  <c r="D184" i="6" s="1"/>
  <c r="E62" i="7"/>
  <c r="H146" i="5"/>
  <c r="I146" i="5" s="1"/>
  <c r="J177" i="6"/>
  <c r="J176" i="6"/>
  <c r="J175" i="6"/>
  <c r="J174" i="6"/>
  <c r="E57" i="7"/>
  <c r="H160" i="5"/>
  <c r="I160" i="5" s="1"/>
  <c r="H140" i="5"/>
  <c r="I140" i="5" s="1"/>
  <c r="J170" i="6"/>
  <c r="J169" i="6"/>
  <c r="J168" i="6"/>
  <c r="J167" i="6"/>
  <c r="H127" i="5"/>
  <c r="I127" i="5" s="1"/>
  <c r="H126" i="5"/>
  <c r="I126" i="5" s="1"/>
  <c r="H125" i="5"/>
  <c r="I125" i="5" s="1"/>
  <c r="J163" i="6"/>
  <c r="J162" i="6"/>
  <c r="J161" i="6"/>
  <c r="J160" i="6"/>
  <c r="J156" i="6"/>
  <c r="J155" i="6"/>
  <c r="J154" i="6"/>
  <c r="J153" i="6"/>
  <c r="D75" i="6" l="1"/>
  <c r="D76" i="6" s="1"/>
  <c r="D74" i="6"/>
  <c r="D173" i="6"/>
  <c r="D174" i="6" s="1"/>
  <c r="D175" i="6" s="1"/>
  <c r="D177" i="6" s="1"/>
  <c r="D166" i="6"/>
  <c r="D167" i="6" s="1"/>
  <c r="D168" i="6" s="1"/>
  <c r="D170" i="6" s="1"/>
  <c r="D159" i="6"/>
  <c r="D160" i="6" s="1"/>
  <c r="D161" i="6" s="1"/>
  <c r="D163" i="6" s="1"/>
  <c r="D152" i="6"/>
  <c r="D153" i="6" s="1"/>
  <c r="D155" i="6" s="1"/>
  <c r="H174" i="5"/>
  <c r="I174" i="5" s="1"/>
  <c r="H175" i="5"/>
  <c r="I175" i="5" s="1"/>
  <c r="H176" i="5"/>
  <c r="I176" i="5" s="1"/>
  <c r="H177" i="5"/>
  <c r="I177" i="5" s="1"/>
  <c r="H179" i="5"/>
  <c r="I179" i="5" s="1"/>
  <c r="H178" i="5"/>
  <c r="I178" i="5" s="1"/>
  <c r="H169" i="5"/>
  <c r="I169" i="5" s="1"/>
  <c r="D176" i="6" l="1"/>
  <c r="D162" i="6"/>
  <c r="D169" i="6"/>
  <c r="D154" i="6"/>
  <c r="D156" i="6" s="1"/>
  <c r="H124" i="5"/>
  <c r="I124" i="5" s="1"/>
  <c r="H123" i="5"/>
  <c r="I123" i="5" s="1"/>
  <c r="H131" i="5"/>
  <c r="I131" i="5" s="1"/>
  <c r="H137" i="5"/>
  <c r="I137" i="5" s="1"/>
  <c r="H138" i="5"/>
  <c r="I138" i="5" s="1"/>
  <c r="H122" i="5"/>
  <c r="I122" i="5" s="1"/>
  <c r="H150" i="5" l="1"/>
  <c r="I150" i="5" s="1"/>
  <c r="H148" i="5"/>
  <c r="I148" i="5" s="1"/>
  <c r="H136" i="5"/>
  <c r="I136" i="5" s="1"/>
  <c r="H135" i="5"/>
  <c r="I135" i="5" s="1"/>
  <c r="E52" i="7"/>
  <c r="E47" i="7"/>
  <c r="J149" i="6"/>
  <c r="J148" i="6"/>
  <c r="J147" i="6"/>
  <c r="J143" i="6"/>
  <c r="J142" i="6"/>
  <c r="J141" i="6"/>
  <c r="H128" i="5"/>
  <c r="I128" i="5" s="1"/>
  <c r="H129" i="5"/>
  <c r="I129" i="5" s="1"/>
  <c r="H130" i="5"/>
  <c r="I130" i="5" s="1"/>
  <c r="D146" i="6" l="1"/>
  <c r="D147" i="6" s="1"/>
  <c r="D148" i="6" s="1"/>
  <c r="D149" i="6" s="1"/>
  <c r="D140" i="6"/>
  <c r="D141" i="6" s="1"/>
  <c r="D142" i="6" s="1"/>
  <c r="D143" i="6" s="1"/>
  <c r="H119" i="5"/>
  <c r="J136" i="6"/>
  <c r="J135" i="6"/>
  <c r="J134" i="6"/>
  <c r="J133" i="6"/>
  <c r="J119" i="6"/>
  <c r="J120" i="6"/>
  <c r="J121" i="6"/>
  <c r="J122" i="6"/>
  <c r="J123" i="6"/>
  <c r="J124" i="6"/>
  <c r="J125" i="6"/>
  <c r="J126" i="6"/>
  <c r="J127" i="6"/>
  <c r="J128" i="6"/>
  <c r="J129" i="6"/>
  <c r="J118" i="6"/>
  <c r="C205" i="5"/>
  <c r="D132" i="6" l="1"/>
  <c r="D133" i="6" s="1"/>
  <c r="D134" i="6" s="1"/>
  <c r="D135" i="6" s="1"/>
  <c r="D136" i="6" s="1"/>
  <c r="D117" i="6"/>
  <c r="D118" i="6" s="1"/>
  <c r="D119" i="6" s="1"/>
  <c r="D120" i="6" s="1"/>
  <c r="D121" i="6" s="1"/>
  <c r="D122" i="6" s="1"/>
  <c r="D123" i="6" s="1"/>
  <c r="D124" i="6" s="1"/>
  <c r="D125" i="6" s="1"/>
  <c r="D126" i="6" s="1"/>
  <c r="D127" i="6" s="1"/>
  <c r="D128" i="6" s="1"/>
  <c r="D129" i="6" s="1"/>
  <c r="H52" i="5"/>
  <c r="I52" i="5" s="1"/>
  <c r="H54" i="5"/>
  <c r="I54" i="5" s="1"/>
  <c r="H53" i="5"/>
  <c r="I53" i="5" s="1"/>
  <c r="H18" i="5" l="1"/>
  <c r="I18" i="5" s="1"/>
  <c r="H60" i="5"/>
  <c r="I60" i="5" s="1"/>
  <c r="C35" i="8" l="1"/>
  <c r="G35" i="8"/>
  <c r="Q23" i="9"/>
  <c r="AQ34" i="8"/>
  <c r="B11" i="8"/>
  <c r="B34" i="8" s="1"/>
  <c r="B15" i="8"/>
  <c r="C22" i="9"/>
  <c r="H37" i="5"/>
  <c r="I37" i="5" s="1"/>
  <c r="H36" i="5"/>
  <c r="I36" i="5" s="1"/>
  <c r="E13" i="7"/>
  <c r="J32" i="6"/>
  <c r="J31" i="6"/>
  <c r="J37" i="6"/>
  <c r="J36" i="6"/>
  <c r="H185" i="5"/>
  <c r="I185" i="5" s="1"/>
  <c r="H184" i="5"/>
  <c r="I184" i="5" s="1"/>
  <c r="E42" i="7"/>
  <c r="D30" i="6" l="1"/>
  <c r="D32" i="6" s="1"/>
  <c r="D35" i="6"/>
  <c r="D36" i="6" s="1"/>
  <c r="G24" i="9"/>
  <c r="L24" i="9"/>
  <c r="H24" i="9"/>
  <c r="K24" i="9"/>
  <c r="F24" i="9"/>
  <c r="N24" i="9"/>
  <c r="M24" i="9"/>
  <c r="I24" i="9"/>
  <c r="O24" i="9"/>
  <c r="J24" i="9"/>
  <c r="D38" i="7"/>
  <c r="E37" i="7" s="1"/>
  <c r="D37" i="7"/>
  <c r="J114" i="6"/>
  <c r="J113" i="6"/>
  <c r="J112" i="6"/>
  <c r="H66" i="5"/>
  <c r="I66" i="5" s="1"/>
  <c r="H65" i="5"/>
  <c r="I65" i="5" s="1"/>
  <c r="H30" i="5"/>
  <c r="I30" i="5" s="1"/>
  <c r="H29" i="5"/>
  <c r="I29" i="5" s="1"/>
  <c r="H27" i="5"/>
  <c r="I27" i="5" s="1"/>
  <c r="H25" i="5"/>
  <c r="I25" i="5" s="1"/>
  <c r="H58" i="5"/>
  <c r="I58" i="5" s="1"/>
  <c r="H56" i="5"/>
  <c r="I56" i="5" s="1"/>
  <c r="D31" i="6" l="1"/>
  <c r="D37" i="6"/>
  <c r="D111" i="6"/>
  <c r="D112" i="6" s="1"/>
  <c r="D113" i="6" s="1"/>
  <c r="D114" i="6" s="1"/>
  <c r="H16" i="5"/>
  <c r="I16" i="5" s="1"/>
  <c r="B7" i="8"/>
  <c r="B26" i="8" s="1"/>
  <c r="Q44" i="9"/>
  <c r="Q41" i="9"/>
  <c r="Q38" i="9"/>
  <c r="Q35" i="9"/>
  <c r="Q32" i="9"/>
  <c r="Q29" i="9"/>
  <c r="Q26" i="9"/>
  <c r="Q20" i="9"/>
  <c r="Q17" i="9"/>
  <c r="Q14" i="9"/>
  <c r="Q11" i="9"/>
  <c r="Q8" i="9"/>
  <c r="N6" i="9"/>
  <c r="M6" i="9"/>
  <c r="L6" i="9"/>
  <c r="K6" i="9"/>
  <c r="J6" i="9"/>
  <c r="I6" i="9"/>
  <c r="H6" i="9"/>
  <c r="O6" i="9"/>
  <c r="AE43" i="8"/>
  <c r="AQ32" i="8"/>
  <c r="AQ46" i="8"/>
  <c r="AE47" i="8" s="1"/>
  <c r="AQ44" i="8"/>
  <c r="AI45" i="8" s="1"/>
  <c r="AQ42" i="8"/>
  <c r="AM43" i="8" s="1"/>
  <c r="AQ40" i="8"/>
  <c r="AA41" i="8" s="1"/>
  <c r="AQ38" i="8"/>
  <c r="AE39" i="8" s="1"/>
  <c r="AQ36" i="8"/>
  <c r="C37" i="8" s="1"/>
  <c r="AQ30" i="8"/>
  <c r="AM31" i="8" s="1"/>
  <c r="AQ26" i="8"/>
  <c r="AA27" i="8" s="1"/>
  <c r="AQ28" i="8"/>
  <c r="AA29" i="8" s="1"/>
  <c r="AQ24" i="8"/>
  <c r="AE25" i="8" s="1"/>
  <c r="AQ22" i="8"/>
  <c r="AA23" i="8" s="1"/>
  <c r="AQ20" i="8"/>
  <c r="AM21" i="8" s="1"/>
  <c r="AI33" i="8" l="1"/>
  <c r="AI35" i="8"/>
  <c r="S35" i="8"/>
  <c r="O35" i="8"/>
  <c r="AE35" i="8"/>
  <c r="AA35" i="8"/>
  <c r="K35" i="8"/>
  <c r="AM35" i="8"/>
  <c r="W35" i="8"/>
  <c r="AE23" i="8"/>
  <c r="AE29" i="8"/>
  <c r="K21" i="8"/>
  <c r="O21" i="8"/>
  <c r="AI23" i="8"/>
  <c r="K43" i="8"/>
  <c r="AA21" i="8"/>
  <c r="O23" i="8"/>
  <c r="C43" i="8"/>
  <c r="O43" i="8"/>
  <c r="AE21" i="8"/>
  <c r="S23" i="8"/>
  <c r="O29" i="8"/>
  <c r="AA43" i="8"/>
  <c r="W45" i="8"/>
  <c r="C45" i="8"/>
  <c r="AI29" i="8"/>
  <c r="AA45" i="8"/>
  <c r="C21" i="8"/>
  <c r="S21" i="8"/>
  <c r="AI21" i="8"/>
  <c r="W23" i="8"/>
  <c r="AM23" i="8"/>
  <c r="G29" i="8"/>
  <c r="W29" i="8"/>
  <c r="AM29" i="8"/>
  <c r="S43" i="8"/>
  <c r="AI43" i="8"/>
  <c r="O45" i="8"/>
  <c r="AE45" i="8"/>
  <c r="G45" i="8"/>
  <c r="AM45" i="8"/>
  <c r="S29" i="8"/>
  <c r="K45" i="8"/>
  <c r="G21" i="8"/>
  <c r="W21" i="8"/>
  <c r="K23" i="8"/>
  <c r="C29" i="8"/>
  <c r="K29" i="8"/>
  <c r="G43" i="8"/>
  <c r="W43" i="8"/>
  <c r="S45" i="8"/>
  <c r="C47" i="8"/>
  <c r="AI47" i="8"/>
  <c r="G47" i="8"/>
  <c r="AM47" i="8"/>
  <c r="K47" i="8"/>
  <c r="AA47" i="8"/>
  <c r="S47" i="8"/>
  <c r="W47" i="8"/>
  <c r="O47" i="8"/>
  <c r="K41" i="8"/>
  <c r="O41" i="8"/>
  <c r="AE41" i="8"/>
  <c r="AI41" i="8"/>
  <c r="C41" i="8"/>
  <c r="S41" i="8"/>
  <c r="G41" i="8"/>
  <c r="W41" i="8"/>
  <c r="AM41" i="8"/>
  <c r="S39" i="8"/>
  <c r="AI39" i="8"/>
  <c r="AM39" i="8"/>
  <c r="C39" i="8"/>
  <c r="O39" i="8"/>
  <c r="G39" i="8"/>
  <c r="W39" i="8"/>
  <c r="K39" i="8"/>
  <c r="AA39" i="8"/>
  <c r="K37" i="8"/>
  <c r="AA37" i="8"/>
  <c r="O37" i="8"/>
  <c r="AE37" i="8"/>
  <c r="S37" i="8"/>
  <c r="AI37" i="8"/>
  <c r="G37" i="8"/>
  <c r="W37" i="8"/>
  <c r="AM37" i="8"/>
  <c r="O27" i="8"/>
  <c r="AE27" i="8"/>
  <c r="AI27" i="8"/>
  <c r="K27" i="8"/>
  <c r="S27" i="8"/>
  <c r="C27" i="8"/>
  <c r="G27" i="8"/>
  <c r="W27" i="8"/>
  <c r="AM27" i="8"/>
  <c r="C25" i="8"/>
  <c r="S25" i="8"/>
  <c r="AI25" i="8"/>
  <c r="AM25" i="8"/>
  <c r="O25" i="8"/>
  <c r="G25" i="8"/>
  <c r="W25" i="8"/>
  <c r="K25" i="8"/>
  <c r="AA25" i="8"/>
  <c r="G33" i="8"/>
  <c r="W33" i="8"/>
  <c r="AM33" i="8"/>
  <c r="K33" i="8"/>
  <c r="AA33" i="8"/>
  <c r="C33" i="8"/>
  <c r="O33" i="8"/>
  <c r="AE33" i="8"/>
  <c r="S33" i="8"/>
  <c r="W31" i="8"/>
  <c r="C31" i="8"/>
  <c r="K31" i="8"/>
  <c r="AA31" i="8"/>
  <c r="AE31" i="8"/>
  <c r="O31" i="8"/>
  <c r="S31" i="8"/>
  <c r="AI31" i="8"/>
  <c r="G31" i="8"/>
  <c r="Q5" i="9"/>
  <c r="AQ33" i="8" l="1"/>
  <c r="AQ35" i="8"/>
  <c r="AQ29" i="8"/>
  <c r="AQ31" i="8"/>
  <c r="AQ27" i="8"/>
  <c r="AQ47" i="8"/>
  <c r="AQ43" i="8"/>
  <c r="AQ45" i="8"/>
  <c r="AQ23" i="8"/>
  <c r="AQ21" i="8"/>
  <c r="AQ37" i="8"/>
  <c r="AQ39" i="8"/>
  <c r="AQ41" i="8"/>
  <c r="AQ25" i="8"/>
  <c r="B20" i="8"/>
  <c r="B17" i="8"/>
  <c r="B46" i="8" s="1"/>
  <c r="B16" i="8"/>
  <c r="B44" i="8" s="1"/>
  <c r="B42" i="8"/>
  <c r="B14" i="8"/>
  <c r="B40" i="8" s="1"/>
  <c r="B13" i="8"/>
  <c r="B38" i="8" s="1"/>
  <c r="B12" i="8"/>
  <c r="B36" i="8" s="1"/>
  <c r="B10" i="8"/>
  <c r="B32" i="8" s="1"/>
  <c r="B9" i="8"/>
  <c r="B30" i="8" s="1"/>
  <c r="B8" i="8"/>
  <c r="B28" i="8" s="1"/>
  <c r="B6" i="8"/>
  <c r="B24" i="8" s="1"/>
  <c r="B5" i="8"/>
  <c r="B22" i="8" s="1"/>
  <c r="H61" i="5" l="1"/>
  <c r="I61" i="5" s="1"/>
  <c r="H40" i="5"/>
  <c r="I40" i="5" s="1"/>
  <c r="E33" i="7"/>
  <c r="E28" i="7"/>
  <c r="H100" i="5"/>
  <c r="I100" i="5" s="1"/>
  <c r="H190" i="5"/>
  <c r="H24" i="5"/>
  <c r="I24" i="5" s="1"/>
  <c r="H23" i="5"/>
  <c r="I23" i="5" s="1"/>
  <c r="H21" i="5"/>
  <c r="I21" i="5" s="1"/>
  <c r="H20" i="5"/>
  <c r="I20" i="5" s="1"/>
  <c r="E23" i="7"/>
  <c r="H84" i="5"/>
  <c r="I84" i="5" s="1"/>
  <c r="J99" i="6"/>
  <c r="J98" i="6"/>
  <c r="J97" i="6"/>
  <c r="J93" i="6"/>
  <c r="J92" i="6"/>
  <c r="J91" i="6"/>
  <c r="J90" i="6"/>
  <c r="D20" i="7"/>
  <c r="D18" i="7"/>
  <c r="H71" i="5"/>
  <c r="I71" i="5" s="1"/>
  <c r="H45" i="5"/>
  <c r="I45" i="5" s="1"/>
  <c r="H83" i="5"/>
  <c r="I83" i="5" s="1"/>
  <c r="H82" i="5"/>
  <c r="I82" i="5" s="1"/>
  <c r="H81" i="5"/>
  <c r="I81" i="5" s="1"/>
  <c r="H189" i="5"/>
  <c r="I189" i="5" s="1"/>
  <c r="H78" i="5"/>
  <c r="I78" i="5" s="1"/>
  <c r="H79" i="5"/>
  <c r="I79" i="5" s="1"/>
  <c r="H49" i="5"/>
  <c r="I49" i="5" s="1"/>
  <c r="H70" i="5"/>
  <c r="I70" i="5" s="1"/>
  <c r="H39" i="5"/>
  <c r="I39" i="5" s="1"/>
  <c r="H35" i="5"/>
  <c r="I35" i="5" s="1"/>
  <c r="H38" i="5"/>
  <c r="I38" i="5" s="1"/>
  <c r="H14" i="5"/>
  <c r="I14" i="5" s="1"/>
  <c r="I190" i="5" l="1"/>
  <c r="D96" i="6"/>
  <c r="D97" i="6" s="1"/>
  <c r="D98" i="6" s="1"/>
  <c r="D99" i="6" s="1"/>
  <c r="C203" i="5"/>
  <c r="C34" i="9" s="1"/>
  <c r="D89" i="6"/>
  <c r="D90" i="6" s="1"/>
  <c r="D91" i="6" s="1"/>
  <c r="D92" i="6" s="1"/>
  <c r="D93" i="6" s="1"/>
  <c r="E18" i="7"/>
  <c r="N36" i="9" l="1"/>
  <c r="J36" i="9"/>
  <c r="M36" i="9"/>
  <c r="I36" i="9"/>
  <c r="L36" i="9"/>
  <c r="H36" i="9"/>
  <c r="O36" i="9"/>
  <c r="K36" i="9"/>
  <c r="F36" i="9"/>
  <c r="G36" i="9"/>
  <c r="J108" i="6"/>
  <c r="J107" i="6"/>
  <c r="J106" i="6"/>
  <c r="J105" i="6"/>
  <c r="J104" i="6"/>
  <c r="D108" i="6" l="1"/>
  <c r="Q36" i="9"/>
  <c r="D105" i="6"/>
  <c r="D106" i="6"/>
  <c r="D103" i="6"/>
  <c r="D107" i="6"/>
  <c r="D104" i="6"/>
  <c r="H98" i="5"/>
  <c r="I98" i="5" s="1"/>
  <c r="J52" i="6"/>
  <c r="J53" i="6"/>
  <c r="J54" i="6"/>
  <c r="J55" i="6"/>
  <c r="J85" i="6"/>
  <c r="J84" i="6"/>
  <c r="J83" i="6"/>
  <c r="D82" i="6" l="1"/>
  <c r="D83" i="6" s="1"/>
  <c r="D84" i="6" s="1"/>
  <c r="D85" i="6" s="1"/>
  <c r="J67" i="6"/>
  <c r="J66" i="6"/>
  <c r="J65" i="6"/>
  <c r="J64" i="6"/>
  <c r="J63" i="6"/>
  <c r="J62" i="6"/>
  <c r="J61" i="6"/>
  <c r="I51" i="6"/>
  <c r="J51" i="6" s="1"/>
  <c r="I50" i="6"/>
  <c r="J50" i="6" s="1"/>
  <c r="I49" i="6"/>
  <c r="J49" i="6" s="1"/>
  <c r="D48" i="6" s="1"/>
  <c r="H161" i="5"/>
  <c r="H76" i="5"/>
  <c r="I76" i="5" s="1"/>
  <c r="H77" i="5"/>
  <c r="I77" i="5" s="1"/>
  <c r="J44" i="6"/>
  <c r="J43" i="6"/>
  <c r="J42" i="6"/>
  <c r="J41" i="6"/>
  <c r="D60" i="6" l="1"/>
  <c r="D61" i="6" s="1"/>
  <c r="I161" i="5"/>
  <c r="D40" i="6"/>
  <c r="D41" i="6" s="1"/>
  <c r="D42" i="6" s="1"/>
  <c r="D43" i="6" s="1"/>
  <c r="D44" i="6" s="1"/>
  <c r="E8" i="7"/>
  <c r="E3" i="7"/>
  <c r="J26" i="6"/>
  <c r="J25" i="6"/>
  <c r="J24" i="6"/>
  <c r="J23" i="6"/>
  <c r="J22" i="6"/>
  <c r="J18" i="6"/>
  <c r="J17" i="6"/>
  <c r="J16" i="6"/>
  <c r="J15" i="6"/>
  <c r="J14" i="6"/>
  <c r="J10" i="6"/>
  <c r="J9" i="6"/>
  <c r="J8" i="6"/>
  <c r="J7" i="6"/>
  <c r="J6" i="6"/>
  <c r="J5" i="6"/>
  <c r="D49" i="6" l="1"/>
  <c r="D50" i="6" s="1"/>
  <c r="D51" i="6" s="1"/>
  <c r="D62" i="6"/>
  <c r="D63" i="6" s="1"/>
  <c r="D64" i="6" s="1"/>
  <c r="D65" i="6" s="1"/>
  <c r="D66" i="6"/>
  <c r="D67" i="6" s="1"/>
  <c r="D13" i="6"/>
  <c r="D25" i="6"/>
  <c r="D17" i="6"/>
  <c r="D22" i="6"/>
  <c r="D16" i="6"/>
  <c r="D21" i="6"/>
  <c r="D15" i="6"/>
  <c r="D24" i="6"/>
  <c r="D18" i="6"/>
  <c r="D14" i="6"/>
  <c r="D23" i="6"/>
  <c r="D26" i="6"/>
  <c r="D7" i="6"/>
  <c r="D6" i="6"/>
  <c r="D5" i="6"/>
  <c r="D10" i="6"/>
  <c r="D9" i="6"/>
  <c r="D8" i="6"/>
  <c r="D4" i="6"/>
  <c r="H153" i="5"/>
  <c r="I153" i="5" s="1"/>
  <c r="H149" i="5"/>
  <c r="I149" i="5" s="1"/>
  <c r="H147" i="5"/>
  <c r="I147" i="5" s="1"/>
  <c r="H145" i="5"/>
  <c r="I145" i="5" s="1"/>
  <c r="H144" i="5"/>
  <c r="I144" i="5" s="1"/>
  <c r="H143" i="5"/>
  <c r="I143" i="5" s="1"/>
  <c r="H142" i="5"/>
  <c r="I142" i="5" s="1"/>
  <c r="H191" i="5"/>
  <c r="I191" i="5" s="1"/>
  <c r="H17" i="5"/>
  <c r="H19" i="5"/>
  <c r="I19" i="5" s="1"/>
  <c r="H22" i="5"/>
  <c r="I22" i="5" s="1"/>
  <c r="H26" i="5"/>
  <c r="I26" i="5" s="1"/>
  <c r="H28" i="5"/>
  <c r="I28" i="5" s="1"/>
  <c r="H31" i="5"/>
  <c r="I31" i="5" s="1"/>
  <c r="H32" i="5"/>
  <c r="I32" i="5" s="1"/>
  <c r="H33" i="5"/>
  <c r="I33" i="5" s="1"/>
  <c r="H41" i="5"/>
  <c r="I41" i="5" s="1"/>
  <c r="H44" i="5"/>
  <c r="I44" i="5" s="1"/>
  <c r="H46" i="5"/>
  <c r="I46" i="5" s="1"/>
  <c r="H47" i="5"/>
  <c r="I47" i="5" s="1"/>
  <c r="H48" i="5"/>
  <c r="I48" i="5" s="1"/>
  <c r="H59" i="5"/>
  <c r="I59" i="5" s="1"/>
  <c r="H62" i="5"/>
  <c r="I62" i="5" s="1"/>
  <c r="H63" i="5"/>
  <c r="I63" i="5" s="1"/>
  <c r="H64" i="5"/>
  <c r="I64" i="5" s="1"/>
  <c r="H67" i="5"/>
  <c r="I67" i="5" s="1"/>
  <c r="H68" i="5"/>
  <c r="I68" i="5" s="1"/>
  <c r="H69" i="5"/>
  <c r="I69" i="5" s="1"/>
  <c r="H73" i="5"/>
  <c r="I73" i="5" s="1"/>
  <c r="H74" i="5"/>
  <c r="I74" i="5" s="1"/>
  <c r="H75" i="5"/>
  <c r="I75" i="5" s="1"/>
  <c r="H51" i="5"/>
  <c r="I51" i="5" s="1"/>
  <c r="H86" i="5"/>
  <c r="I86" i="5" s="1"/>
  <c r="H87" i="5"/>
  <c r="I87" i="5" s="1"/>
  <c r="H88" i="5"/>
  <c r="I88" i="5" s="1"/>
  <c r="H89" i="5"/>
  <c r="I89" i="5" s="1"/>
  <c r="H90" i="5"/>
  <c r="I90" i="5" s="1"/>
  <c r="H91" i="5"/>
  <c r="I91" i="5" s="1"/>
  <c r="H92" i="5"/>
  <c r="I92" i="5" s="1"/>
  <c r="H93" i="5"/>
  <c r="I93" i="5" s="1"/>
  <c r="H94" i="5"/>
  <c r="I94" i="5" s="1"/>
  <c r="H95" i="5"/>
  <c r="I95" i="5" s="1"/>
  <c r="H96" i="5"/>
  <c r="I96" i="5" s="1"/>
  <c r="H97" i="5"/>
  <c r="I97" i="5" s="1"/>
  <c r="H99" i="5"/>
  <c r="I99" i="5" s="1"/>
  <c r="H101" i="5"/>
  <c r="I101" i="5" s="1"/>
  <c r="H102" i="5"/>
  <c r="I102" i="5" s="1"/>
  <c r="H103" i="5"/>
  <c r="I103" i="5" s="1"/>
  <c r="H104" i="5"/>
  <c r="I104" i="5" s="1"/>
  <c r="H105" i="5"/>
  <c r="I105" i="5" s="1"/>
  <c r="H106" i="5"/>
  <c r="I106" i="5" s="1"/>
  <c r="H107" i="5"/>
  <c r="I107" i="5" s="1"/>
  <c r="H108" i="5"/>
  <c r="I108" i="5" s="1"/>
  <c r="H109" i="5"/>
  <c r="I109" i="5" s="1"/>
  <c r="H110" i="5"/>
  <c r="I110" i="5" s="1"/>
  <c r="H111" i="5"/>
  <c r="I111" i="5" s="1"/>
  <c r="H112" i="5"/>
  <c r="I112" i="5" s="1"/>
  <c r="H113" i="5"/>
  <c r="I113" i="5" s="1"/>
  <c r="H114" i="5"/>
  <c r="I114" i="5" s="1"/>
  <c r="H115" i="5"/>
  <c r="I115" i="5" s="1"/>
  <c r="H116" i="5"/>
  <c r="I116" i="5" s="1"/>
  <c r="H117" i="5"/>
  <c r="I117" i="5" s="1"/>
  <c r="H181" i="5"/>
  <c r="I181" i="5" s="1"/>
  <c r="H182" i="5"/>
  <c r="I182" i="5" s="1"/>
  <c r="H183" i="5"/>
  <c r="I183" i="5" s="1"/>
  <c r="I119" i="5"/>
  <c r="H120" i="5"/>
  <c r="I120" i="5" s="1"/>
  <c r="H121" i="5"/>
  <c r="I121" i="5" s="1"/>
  <c r="H132" i="5"/>
  <c r="I132" i="5" s="1"/>
  <c r="H133" i="5"/>
  <c r="I133" i="5" s="1"/>
  <c r="H134" i="5"/>
  <c r="I134" i="5" s="1"/>
  <c r="H139" i="5"/>
  <c r="I139" i="5" s="1"/>
  <c r="H187" i="5"/>
  <c r="I187" i="5" s="1"/>
  <c r="C200" i="5" l="1"/>
  <c r="C13" i="9" s="1"/>
  <c r="L15" i="9" s="1"/>
  <c r="C204" i="5"/>
  <c r="C16" i="9" s="1"/>
  <c r="C10" i="9"/>
  <c r="C47" i="9" s="1"/>
  <c r="C199" i="5"/>
  <c r="C28" i="9" s="1"/>
  <c r="C209" i="5"/>
  <c r="C43" i="9" s="1"/>
  <c r="C208" i="5"/>
  <c r="C25" i="9" s="1"/>
  <c r="C207" i="5"/>
  <c r="C37" i="9" s="1"/>
  <c r="C202" i="5"/>
  <c r="C31" i="9" s="1"/>
  <c r="C198" i="5"/>
  <c r="C40" i="9" s="1"/>
  <c r="I17" i="5"/>
  <c r="D52" i="6"/>
  <c r="D53" i="6" s="1"/>
  <c r="D54" i="6" s="1"/>
  <c r="D55" i="6" s="1"/>
  <c r="H168" i="5"/>
  <c r="I168" i="5" s="1"/>
  <c r="Q24" i="9" l="1"/>
  <c r="M42" i="9"/>
  <c r="G42" i="9"/>
  <c r="N42" i="9"/>
  <c r="J42" i="9"/>
  <c r="K42" i="9"/>
  <c r="L42" i="9"/>
  <c r="H42" i="9"/>
  <c r="O42" i="9"/>
  <c r="F42" i="9"/>
  <c r="I42" i="9"/>
  <c r="F45" i="9"/>
  <c r="H45" i="9"/>
  <c r="I45" i="9"/>
  <c r="J45" i="9"/>
  <c r="O45" i="9"/>
  <c r="M45" i="9"/>
  <c r="K45" i="9"/>
  <c r="N45" i="9"/>
  <c r="G45" i="9"/>
  <c r="L45" i="9"/>
  <c r="N27" i="9"/>
  <c r="G27" i="9"/>
  <c r="M27" i="9"/>
  <c r="O27" i="9"/>
  <c r="K27" i="9"/>
  <c r="L27" i="9"/>
  <c r="F27" i="9"/>
  <c r="I27" i="9"/>
  <c r="H27" i="9"/>
  <c r="J27" i="9"/>
  <c r="C197" i="5"/>
  <c r="C7" i="9" s="1"/>
  <c r="M15" i="9"/>
  <c r="I15" i="9"/>
  <c r="F15" i="9"/>
  <c r="H15" i="9"/>
  <c r="O15" i="9"/>
  <c r="G15" i="9"/>
  <c r="J15" i="9"/>
  <c r="K15" i="9"/>
  <c r="N15" i="9"/>
  <c r="M33" i="9"/>
  <c r="I33" i="9"/>
  <c r="F33" i="9"/>
  <c r="L33" i="9"/>
  <c r="H33" i="9"/>
  <c r="O33" i="9"/>
  <c r="K33" i="9"/>
  <c r="G33" i="9"/>
  <c r="J33" i="9"/>
  <c r="N33" i="9"/>
  <c r="N18" i="9"/>
  <c r="M18" i="9"/>
  <c r="H18" i="9"/>
  <c r="L18" i="9"/>
  <c r="G18" i="9"/>
  <c r="K18" i="9"/>
  <c r="O18" i="9"/>
  <c r="I18" i="9"/>
  <c r="F18" i="9"/>
  <c r="J18" i="9"/>
  <c r="M39" i="9"/>
  <c r="O39" i="9"/>
  <c r="J39" i="9"/>
  <c r="N39" i="9"/>
  <c r="H39" i="9"/>
  <c r="L39" i="9"/>
  <c r="G39" i="9"/>
  <c r="F39" i="9"/>
  <c r="K39" i="9"/>
  <c r="I39" i="9"/>
  <c r="N12" i="9"/>
  <c r="J12" i="9"/>
  <c r="F12" i="9"/>
  <c r="F48" i="9" s="1"/>
  <c r="M12" i="9"/>
  <c r="I12" i="9"/>
  <c r="L12" i="9"/>
  <c r="H12" i="9"/>
  <c r="O12" i="9"/>
  <c r="K12" i="9"/>
  <c r="G12" i="9"/>
  <c r="G48" i="9" s="1"/>
  <c r="O30" i="9"/>
  <c r="K30" i="9"/>
  <c r="G30" i="9"/>
  <c r="N30" i="9"/>
  <c r="J30" i="9"/>
  <c r="M30" i="9"/>
  <c r="I30" i="9"/>
  <c r="L30" i="9"/>
  <c r="H30" i="9"/>
  <c r="F30" i="9"/>
  <c r="H164" i="5"/>
  <c r="I164" i="5" s="1"/>
  <c r="H163" i="5"/>
  <c r="I163" i="5" s="1"/>
  <c r="H162" i="5"/>
  <c r="I162" i="5" s="1"/>
  <c r="N9" i="9" l="1"/>
  <c r="F9" i="9"/>
  <c r="L9" i="9"/>
  <c r="M9" i="9"/>
  <c r="Q42" i="9"/>
  <c r="Q27" i="9"/>
  <c r="Q45" i="9"/>
  <c r="K9" i="9"/>
  <c r="G9" i="9"/>
  <c r="J9" i="9"/>
  <c r="H9" i="9"/>
  <c r="I9" i="9"/>
  <c r="O9" i="9"/>
  <c r="Q15" i="9"/>
  <c r="Q18" i="9"/>
  <c r="Q39" i="9"/>
  <c r="Q33" i="9"/>
  <c r="Q12" i="9"/>
  <c r="Q30" i="9"/>
  <c r="H172" i="5"/>
  <c r="I172" i="5" s="1"/>
  <c r="H167" i="5"/>
  <c r="I167" i="5" s="1"/>
  <c r="Q9" i="9" l="1"/>
  <c r="H166" i="5" l="1"/>
  <c r="I166" i="5" s="1"/>
  <c r="H159" i="5"/>
  <c r="I159" i="5" s="1"/>
  <c r="H151" i="5"/>
  <c r="H154" i="5"/>
  <c r="I154" i="5" s="1"/>
  <c r="H152" i="5"/>
  <c r="I152" i="5" s="1"/>
  <c r="H155" i="5"/>
  <c r="I155" i="5" s="1"/>
  <c r="H156" i="5"/>
  <c r="I156" i="5" s="1"/>
  <c r="H157" i="5"/>
  <c r="I157" i="5" s="1"/>
  <c r="H158" i="5"/>
  <c r="I158" i="5" s="1"/>
  <c r="I151" i="5" l="1"/>
  <c r="I7" i="5"/>
  <c r="C206" i="5" l="1"/>
  <c r="I26" i="2"/>
  <c r="H26" i="2"/>
  <c r="G26" i="2"/>
  <c r="D19" i="2"/>
  <c r="D26" i="2" s="1"/>
  <c r="F18" i="2"/>
  <c r="F17" i="2"/>
  <c r="F16" i="2"/>
  <c r="F15" i="2"/>
  <c r="F14" i="2"/>
  <c r="I11" i="2"/>
  <c r="C15" i="2" s="1"/>
  <c r="C19" i="9" l="1"/>
  <c r="E26" i="2"/>
  <c r="C19" i="2"/>
  <c r="C14" i="2"/>
  <c r="C16" i="2"/>
  <c r="M21" i="9" l="1"/>
  <c r="M48" i="9" s="1"/>
  <c r="L21" i="9"/>
  <c r="L48" i="9" s="1"/>
  <c r="H21" i="9"/>
  <c r="H48" i="9" s="1"/>
  <c r="K21" i="9"/>
  <c r="K48" i="9" s="1"/>
  <c r="G21" i="9"/>
  <c r="O21" i="9"/>
  <c r="O48" i="9" s="1"/>
  <c r="J21" i="9"/>
  <c r="J48" i="9" s="1"/>
  <c r="F21" i="9"/>
  <c r="I21" i="9"/>
  <c r="I48" i="9" s="1"/>
  <c r="N21" i="9"/>
  <c r="N48" i="9" s="1"/>
  <c r="C17" i="2"/>
  <c r="Q21" i="9" l="1"/>
  <c r="C18" i="2"/>
  <c r="C24" i="2" s="1"/>
  <c r="C25" i="2" s="1"/>
  <c r="H13" i="5" l="1"/>
  <c r="H192" i="5" s="1"/>
  <c r="I13" i="5" l="1"/>
  <c r="I192" i="5" s="1"/>
  <c r="C196" i="5" l="1"/>
  <c r="C210" i="5" l="1"/>
  <c r="C4" i="9"/>
  <c r="F6" i="9" l="1"/>
  <c r="D4" i="9"/>
  <c r="G6" i="9"/>
  <c r="G47" i="9" s="1"/>
  <c r="D19" i="9" l="1"/>
  <c r="D7" i="9"/>
  <c r="I47" i="9"/>
  <c r="D28" i="9"/>
  <c r="D37" i="9"/>
  <c r="O47" i="9"/>
  <c r="D34" i="9"/>
  <c r="D16" i="9"/>
  <c r="J47" i="9"/>
  <c r="M47" i="9"/>
  <c r="D22" i="9"/>
  <c r="D10" i="9"/>
  <c r="N47" i="9"/>
  <c r="H47" i="9"/>
  <c r="D40" i="9"/>
  <c r="D31" i="9"/>
  <c r="C49" i="9"/>
  <c r="D43" i="9"/>
  <c r="D13" i="9"/>
  <c r="K47" i="9"/>
  <c r="L47" i="9"/>
  <c r="D25" i="9"/>
  <c r="Q6" i="9"/>
  <c r="F50" i="9" l="1"/>
  <c r="G50" i="9"/>
  <c r="Q48" i="9"/>
  <c r="F47" i="9"/>
  <c r="F49" i="9" l="1"/>
  <c r="G49" i="9"/>
  <c r="Q47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wagnerdeconto</author>
  </authors>
  <commentList>
    <comment ref="D23" authorId="0" shapeId="0" xr:uid="{00000000-0006-0000-0100-000001000000}">
      <text>
        <r>
          <rPr>
            <sz val="8"/>
            <color indexed="81"/>
            <rFont val="Tahoma"/>
            <family val="2"/>
          </rPr>
          <t xml:space="preserve">A CPRB DEVE SER RETIRADA DA COMPOSIÇÃO DO BDI QUANDO A MELHOR OPÇÃO FOR A UTILIZAÇÃO DA TABELA DE SERVIÇOS SEM DESONERAÇÃO.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Juliano Gessele</author>
  </authors>
  <commentList>
    <comment ref="G23" authorId="0" shapeId="0" xr:uid="{CACCC729-9EBC-4858-9A59-CFA03A2EDE93}">
      <text>
        <r>
          <rPr>
            <b/>
            <sz val="9"/>
            <color indexed="81"/>
            <rFont val="Segoe UI"/>
            <family val="2"/>
          </rPr>
          <t>Juliano Gessele:</t>
        </r>
        <r>
          <rPr>
            <sz val="9"/>
            <color indexed="81"/>
            <rFont val="Segoe UI"/>
            <family val="2"/>
          </rPr>
          <t xml:space="preserve">
adicionar a porcentagem ao final do orçamento, verificar no cron. Fis.fina.</t>
        </r>
      </text>
    </comment>
  </commentList>
</comments>
</file>

<file path=xl/sharedStrings.xml><?xml version="1.0" encoding="utf-8"?>
<sst xmlns="http://schemas.openxmlformats.org/spreadsheetml/2006/main" count="2009" uniqueCount="775">
  <si>
    <t>ITEM</t>
  </si>
  <si>
    <t>DESCRIÇÃO</t>
  </si>
  <si>
    <t>COMPOSIÇÃO DE BDI PARA EDIFICAÇÕES</t>
  </si>
  <si>
    <t>CUSTO TOTAL DO SERVIÇO (R$):</t>
  </si>
  <si>
    <t>DISCRIMINAÇÃO</t>
  </si>
  <si>
    <t>VALOR (R$)</t>
  </si>
  <si>
    <t>TAXA (%)</t>
  </si>
  <si>
    <t>OBSERVAÇÃO</t>
  </si>
  <si>
    <t>SITUAÇÃO DO INTERVALO ADMISSIVEL</t>
  </si>
  <si>
    <t>PARCELAS DO BDI (%)</t>
  </si>
  <si>
    <t>1 Quartil</t>
  </si>
  <si>
    <t xml:space="preserve">Médio </t>
  </si>
  <si>
    <t>3 Quartil</t>
  </si>
  <si>
    <t>AC - ADMINISTRAÇÃO CENTRAL</t>
  </si>
  <si>
    <t>AC</t>
  </si>
  <si>
    <t>ADMINISTRAÇÃO CENTRAL</t>
  </si>
  <si>
    <t>SG - SEGUROS + GARANTIA</t>
  </si>
  <si>
    <t>SG</t>
  </si>
  <si>
    <t>SEGUROS + GARANTIA</t>
  </si>
  <si>
    <t>R - RISCOS</t>
  </si>
  <si>
    <t>R</t>
  </si>
  <si>
    <t>RISCOS</t>
  </si>
  <si>
    <t>DF - DESPESAS FINANCEIRAS</t>
  </si>
  <si>
    <t>DF</t>
  </si>
  <si>
    <t>DESPESAS FINANCEIRAS</t>
  </si>
  <si>
    <t>L - LUCRO BRUTO</t>
  </si>
  <si>
    <t>L</t>
  </si>
  <si>
    <t>LUCRO BRUTO</t>
  </si>
  <si>
    <t>I - IMPOSTOS</t>
  </si>
  <si>
    <t>I</t>
  </si>
  <si>
    <t>IMPOSTOS</t>
  </si>
  <si>
    <t>6.1</t>
  </si>
  <si>
    <t>PIS</t>
  </si>
  <si>
    <t>6.2</t>
  </si>
  <si>
    <t>COFINS</t>
  </si>
  <si>
    <t>6.3</t>
  </si>
  <si>
    <t>ISS (CONFORME LEGISLAÇÃO MUNICIPAL)</t>
  </si>
  <si>
    <t>6.4</t>
  </si>
  <si>
    <t>CONTRIB.PREV. SOBRE REC. BRUTA - CPRB</t>
  </si>
  <si>
    <t>TOTAL DO BDI (R$)</t>
  </si>
  <si>
    <t>Parâmetros do Acórdão 2.622/2013 - Plenário</t>
  </si>
  <si>
    <t>PREÇO DE VENDA (R$)</t>
  </si>
  <si>
    <t>Sem CPRB</t>
  </si>
  <si>
    <t>BDI (%)</t>
  </si>
  <si>
    <t>Com CPRB</t>
  </si>
  <si>
    <t>Equação Acordão TCU 2.622/2013 - Plenário</t>
  </si>
  <si>
    <t>Onde:</t>
  </si>
  <si>
    <t>AC: taxa de administração central;</t>
  </si>
  <si>
    <t>S: taxa de seguros;</t>
  </si>
  <si>
    <t>G: taxa de garantias;</t>
  </si>
  <si>
    <t>R: taxa de riscos;</t>
  </si>
  <si>
    <t>DF: taxa de despesas financeiras;</t>
  </si>
  <si>
    <t>L: taxa de lucro/remuneração;</t>
  </si>
  <si>
    <t>I: taxa de incidência de impostos (PIS, COFINS, ISS, CPRB).</t>
  </si>
  <si>
    <t>Responsável Técnico</t>
  </si>
  <si>
    <t>Carimbo e Assinatura</t>
  </si>
  <si>
    <t>CÓDIGO</t>
  </si>
  <si>
    <t>ENCARGOS SOCIAIS SOBRE CUSTOS DA MÃO DE OBRA HORISTA E MENSALISTA</t>
  </si>
  <si>
    <t>Resolução Conjunta SEIL/PRED N° 003/2019</t>
  </si>
  <si>
    <t>Vigência a partir de: MAIO/2019</t>
  </si>
  <si>
    <t>ENCARGOS SOCIAIS SOBRE A MÃO DE OBRA (COM DESONERAÇÃO)</t>
  </si>
  <si>
    <t>HORISTA %</t>
  </si>
  <si>
    <t>MENSALISTA %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</si>
  <si>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</si>
  <si>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</si>
  <si>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</si>
  <si>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</si>
  <si>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</si>
  <si>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</si>
  <si>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</si>
  <si>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</si>
  <si>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</si>
  <si>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</si>
  <si>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</si>
  <si>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</si>
  <si>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</si>
  <si>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</si>
  <si>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</si>
  <si>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</si>
  <si>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</si>
  <si>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</si>
  <si>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</si>
  <si>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</si>
  <si>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Total dos Encargos Sociais Básicos</t>
  </si>
  <si>
    <t>GRUPO B</t>
  </si>
  <si>
    <t>B1</t>
  </si>
  <si>
    <t>Repouso Semanal Remunerado</t>
  </si>
  <si>
    <t>Não incide</t>
  </si>
  <si>
    <t>B2</t>
  </si>
  <si>
    <t>Feriados</t>
  </si>
  <si>
    <t>B3</t>
  </si>
  <si>
    <t>Auxílio-Enfermidade</t>
  </si>
  <si>
    <t>B4</t>
  </si>
  <si>
    <t>13° Salário</t>
  </si>
  <si>
    <t>B5</t>
  </si>
  <si>
    <t>Licença Paternidade</t>
  </si>
  <si>
    <t>B6</t>
  </si>
  <si>
    <t>Faltas Justificadas</t>
  </si>
  <si>
    <t>B7</t>
  </si>
  <si>
    <t>Dias de Chuva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</si>
  <si>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</si>
  <si>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</si>
  <si>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</si>
  <si>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</si>
  <si>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</si>
  <si>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</si>
  <si>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</si>
  <si>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Total dos Encargos Sociais que recebem incidência de A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</si>
  <si>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</si>
  <si>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</si>
  <si>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</si>
  <si>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</si>
  <si>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</si>
  <si>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</si>
  <si>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</si>
  <si>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</si>
  <si>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</si>
  <si>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</si>
  <si>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</si>
  <si>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</si>
  <si>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t>Total dos Encargos Sociais que não recebem incidência de A</t>
  </si>
  <si>
    <t>GRUPO D</t>
  </si>
  <si>
    <t>D1</t>
  </si>
  <si>
    <t>Reincidência do Grupo A sobre o Grupo B</t>
  </si>
  <si>
    <t>D2</t>
  </si>
  <si>
    <t>Reincidência do Grupo A sobre Aviso Prévio Trabalhado e</t>
  </si>
  <si>
    <t>Reincidência do FGTS sobre Aviso Prévio Indenizado</t>
  </si>
  <si>
    <t>D</t>
  </si>
  <si>
    <t>Total de Reincidências de um grupo sobre o outro</t>
  </si>
  <si>
    <t>TOTAL (A+B+C+D)</t>
  </si>
  <si>
    <t>Fonte: Informação Dias de Chuva - INMET</t>
  </si>
  <si>
    <t>DEFENSORIA PÚBLICA DO ESTADO DO PARANÁ</t>
  </si>
  <si>
    <t/>
  </si>
  <si>
    <t>M</t>
  </si>
  <si>
    <t>INSUMO</t>
  </si>
  <si>
    <t>UN</t>
  </si>
  <si>
    <t>H</t>
  </si>
  <si>
    <t>88316</t>
  </si>
  <si>
    <t>SERVENTE COM ENCARGOS COMPLEMENTARES</t>
  </si>
  <si>
    <t>M2</t>
  </si>
  <si>
    <t>1,0000000</t>
  </si>
  <si>
    <t>JANELA DE ALUMÍNIO DE CORRER COM 2 FOLHAS PARA VIDROS, COM VIDROS, BATENTE, ACABAMENTO COM ACETATO OU BRILHANTE E FERRAGENS. EXCLUSIVE ALIZAR E CONTRAMARCO. FORNECIMENTO E INSTALAÇÃO. AF_12/2019</t>
  </si>
  <si>
    <t>M3</t>
  </si>
  <si>
    <t>APLICAÇÃO MANUAL DE PINTURA COM TINTA LÁTEX ACRÍLICA EM PAREDES, DUAS DEMÃOS. AF_06/2014</t>
  </si>
  <si>
    <t>APLICAÇÃO E LIXAMENTO DE MASSA LÁTEX EM PAREDES, DUAS DEMÃOS. AF_06/2014</t>
  </si>
  <si>
    <t>TORNEIRA CROMADA LONGA, DE PAREDE, 1/2 OU 3/4, PARA PIA DE COZINHA, PADRÃO POPULAR - FORNECIMENTO E INSTALAÇÃO. AF_01/2020</t>
  </si>
  <si>
    <t>88267</t>
  </si>
  <si>
    <t>ENCANADOR OU BOMBEIRO HIDRÁULICO COM ENCARGOS COMPLEMENTARES</t>
  </si>
  <si>
    <t>ENGATE FLEXÍVEL EM PLÁSTICO BRANCO, 1/2 X 30CM - FORNECIMENTO E INSTALAÇÃO. AF_01/2020</t>
  </si>
  <si>
    <t>SIFÃO DO TIPO FLEXÍVEL EM PVC 1  X 1.1/2  - FORNECIMENTO E INSTALAÇÃO. AF_01/2020</t>
  </si>
  <si>
    <t>2,0000000</t>
  </si>
  <si>
    <t>88248</t>
  </si>
  <si>
    <t>AUXILIAR DE ENCANADOR OU BOMBEIRO HIDRÁULICO COM ENCARGOS COMPLEMENTARES</t>
  </si>
  <si>
    <t xml:space="preserve">UN    </t>
  </si>
  <si>
    <t>PLACA DE SINALIZACAO DE SEGURANCA CONTRA INCENDIO, FOTOLUMINESCENTE, RETANGULAR, *13 X 26* CM, EM PVC *2* MM ANTI-CHAMAS (SIMBOLOS, CORES E PICTOGRAMAS CONFORME NBR 16820)</t>
  </si>
  <si>
    <t>PLACA DE SINALIZACAO DE SEGURANCA CONTRA INCENDIO, FOTOLUMINESCENTE, RETANGULAR, *13 X 26* CM, EM PVC *2* MM ANTI-CHAMAS (SIMBOLOS, CORES E PICTOGRAMAS CONFORME NBR 16820) - FORNECIMENTO E INSTALAÇÃO</t>
  </si>
  <si>
    <t>PLANILHA ORÇAMENTÁRIA - DEFENSORIA PÚBLICA DO PARANÁ</t>
  </si>
  <si>
    <t>Contratante:</t>
  </si>
  <si>
    <t>Defensoria Pública do Estado do Paraná</t>
  </si>
  <si>
    <t>Autor:</t>
  </si>
  <si>
    <t>Descrição da obra/serviço:</t>
  </si>
  <si>
    <t>BDI</t>
  </si>
  <si>
    <t>Revisão</t>
  </si>
  <si>
    <t>Referência:</t>
  </si>
  <si>
    <t>Data da emissão</t>
  </si>
  <si>
    <t>Data-base</t>
  </si>
  <si>
    <t>SISTEMA REFERENCIAL</t>
  </si>
  <si>
    <t>UNID.</t>
  </si>
  <si>
    <t>QUANTIDADE</t>
  </si>
  <si>
    <t>PREÇO EM REAIS</t>
  </si>
  <si>
    <t>UNITÁRIO</t>
  </si>
  <si>
    <t>TOTAL</t>
  </si>
  <si>
    <t>SINAPI</t>
  </si>
  <si>
    <t>ADEQUAÇÃO CIVIL</t>
  </si>
  <si>
    <t>AR-CONDICIONADO</t>
  </si>
  <si>
    <t>EXECUÇÃO DE INFRAESTRUTURA E INSTALAÇÃO DE EQUIPAMENTOS DE AR-CONDICIONADO</t>
  </si>
  <si>
    <t>INFRAESTRUTURA ELÉTRICA E LÓGICA</t>
  </si>
  <si>
    <t>TOTAL + BDI</t>
  </si>
  <si>
    <t>3,0000000</t>
  </si>
  <si>
    <t>34709</t>
  </si>
  <si>
    <t>88247</t>
  </si>
  <si>
    <t>AUXILIAR DE ELETRICISTA COM ENCARGOS COMPLEMENTARES</t>
  </si>
  <si>
    <t>0,5677000</t>
  </si>
  <si>
    <t>88264</t>
  </si>
  <si>
    <t>ELETRICISTA COM ENCARGOS COMPLEMENTARES</t>
  </si>
  <si>
    <t>DISJUNTOR MONOPOLAR TIPO DIN, CORRENTE NOMINAL DE 25A - FORNECIMENTO E INSTALAÇÃO. AF_10/2020</t>
  </si>
  <si>
    <t>DISJUNTOR MONOPOLAR TIPO DIN, CORRENTE NOMINAL DE 20A - FORNECIMENTO E INSTALAÇÃO. AF_10/2020</t>
  </si>
  <si>
    <t>DISJUNTOR MONOPOLAR TIPO DIN, CORRENTE NOMINAL DE 16A - FORNECIMENTO E INSTALAÇÃO. AF_10/2020</t>
  </si>
  <si>
    <t>DISJUNTOR MONOPOLAR TIPO DIN, CORRENTE NOMINAL DE 10A - FORNECIMENTO E INSTALAÇÃO. AF_10/2020</t>
  </si>
  <si>
    <t>LUMINÁRIA DE EMERGÊNCIA, COM 30 LÂMPADAS LED DE 2 W, SEM REATOR - FORNECIMENTO E INSTALAÇÃO. AF_02/2020</t>
  </si>
  <si>
    <t>0,2350000</t>
  </si>
  <si>
    <t>TOMADA DE REDE RJ45 - FORNECIMENTO E INSTALAÇÃO. AF_11/2019</t>
  </si>
  <si>
    <t>CAIXA DE INSPEÇÃO PARA ATERRAMENTO, CIRCULAR, EM POLIETILENO, DIÂMETRO INTERNO = 0,3 M. AF_12/2020</t>
  </si>
  <si>
    <t>1,0500000</t>
  </si>
  <si>
    <t>0,3333000</t>
  </si>
  <si>
    <t>0,2531000</t>
  </si>
  <si>
    <t>COMPOSIÇÃO PRÓPRIA</t>
  </si>
  <si>
    <t>CABO ELETRÔNICO CATEGORIA 6, INSTALADO EM EDIFICAÇÃO INSTITUCIONAL - FORNECIMENTO E INSTALAÇÃO. AF_11/2019</t>
  </si>
  <si>
    <t>0,0300000</t>
  </si>
  <si>
    <t>PREVENTIVO CONTRA INCÊNDIO</t>
  </si>
  <si>
    <t>EMENDA PARA ELETROCALHA, LISA OU PERFURADA EM AÇO GALVANIZADO, LARGURA 150MM E ALTURA 50MM - FORNECIMENTO E INSTALAÇÃO. AF_09/2016</t>
  </si>
  <si>
    <t xml:space="preserve">ELETROCALHA LISA OU PERFURADA EM CHAPA DE AÇO GALVANIZADO, LARGURA 150MM E ALTURA 50MM, ESPESSURA #20 </t>
  </si>
  <si>
    <t>COTAÇÃO</t>
  </si>
  <si>
    <t>EMENDA PARA ELETROCALHA, LISA OU PERFURADA EM AÇO GALVANIZADO, LARGURA 150MM E ALTURA 50MM - FORNECIMENTO E INSTALAÇÃO. AF_09/2016,</t>
  </si>
  <si>
    <t xml:space="preserve">EMENDA PARA ELETROCALHA EM CHAPA DE AÇO GALVANIZADO 150X50MM, ESPESSURA #20 </t>
  </si>
  <si>
    <t xml:space="preserve">TALA PARA EMENDA DE ELETROCALHA LISA OU PERFURADA </t>
  </si>
  <si>
    <t xml:space="preserve">PARAFUSO CABEÇA LENTILHA ¼” X ¾” </t>
  </si>
  <si>
    <t>ARRUELA SIMPLES ¼”</t>
  </si>
  <si>
    <t xml:space="preserve">PORCA SEXTAVADA ¼” </t>
  </si>
  <si>
    <t>TAMPA 150MM</t>
  </si>
  <si>
    <t>DISJUNTOR DPS CLASSE 1 + 2 - 4 POLOS FORNECIMENTO E INSTALAÇÃO. AF_10/2020</t>
  </si>
  <si>
    <t>DISJUNTOR DPS CLASSE 1 + 2 - 4 POLOS FORNECIMENTO E INSTALAÇÃO. AF_10/2021</t>
  </si>
  <si>
    <t>DISJUNTOR DPS CLASSE 1 + 2 - 4 POLOS FORNECIMENTO E INSTALAÇÃO. AF_10/2022</t>
  </si>
  <si>
    <t>DISJUNTOR DPS CLASSE 1 + 2 - 4 POLOS FORNECIMENTO E INSTALAÇÃO. AF_10/2023</t>
  </si>
  <si>
    <t>DISJUNTOR DPS CLASSE 1 + 2 - 4 POLOS FORNECIMENTO E INSTALAÇÃO. AF_10/2024</t>
  </si>
  <si>
    <t>DISJUNTOR DPS CLASSE 1 + 2</t>
  </si>
  <si>
    <t>https://www.lojaclamper.com.br/clamper-front-125-60ka/p?idsku=26&amp;utm_source=google&amp;utm_medium=cpc&amp;keyword=&amp;gclid=CjwKCAjwopWSBhB6EiwAjxmqDZf-Ue7GrlJ7JRB7YQ0AYrnuNU83fMYtIAka9CtOV6b7pC7XwANnDBoC7KMQAvD_BwE</t>
  </si>
  <si>
    <t>https://www.viewtech.ind.br/catalog/product/view/id/3342/s/dps-protetor-de-surtos-classe-1-e-2-60ka-275v-monopolar/?utm_source=&amp;utm_medium=&amp;utm_campaign=&amp;utm_term=&amp;utm_content=&amp;gclid=CjwKCAjwopWSBhB6EiwAjxmqDXfGKIrQI0Wvc7XY_YjuiTZEQ7mEddtBXu9rS7VQbwDzZ6PoB5wlaxoC558QAvD_BwE</t>
  </si>
  <si>
    <t>https://www.eletrofm.com.br/automacao/industrial/DISJUNTORES/dps-protetor-de-surtos-classe-1-e-2-125-60ka-275v-monopolar/?utm_source=google_shopping&amp;utm_medium=search&amp;utm_campaign=comparadores&amp;gclid=CjwKCAjwopWSBhB6EiwAjxmqDT3zQlaU4w0x2QTN3q1r3eKUfRe_B88k2qqpUZdTMajhcyCm5_q4IxoCsKwQAvD_BwE</t>
  </si>
  <si>
    <t>RODAPÉ EM POLIESTIRENO, ALTURA 5 CM. AF_09/2020</t>
  </si>
  <si>
    <t>CABO DE COBRE FLEXÍVEL ISOLADO, 4 MM², ANTI-CHAMA 450/750 V, PARA CIRCUITOS TERMINAIS - FORNECIMENTO E INSTALAÇÃO. AF_12/2015 AMARELO</t>
  </si>
  <si>
    <t>PLACA DE SINALIZACAO DE SEGURANCA CONTRA INCENDIO, FOTOLUMINESCENTE, QUADRADA, *14 X 14* CM, EM PVC *2* MM ANTI-CHAMAS (SIMBOLOS, CORES E PICTOGRAMAS CONFORME NBR 16820)</t>
  </si>
  <si>
    <t>PLACA DE SINALIZACAO DE SEGURANCA CONTRA INCENDIO, FOTOLUMINESCENTE, RETANGULAR, *13 X 26* CM, EM PVC *2* MM ANTI-CHAMAS (SIMBOLOS, CORES E PICTOGRAMAS CONFORME NBR 16820) - FORNECIMENTO E INSTALAÇÃO - SAÍDA DE EMERGÊNCIA - SETA ACIMA</t>
  </si>
  <si>
    <t>PLACA DE SINALIZACAO DE SEGURANCA CONTRA INCENDIO, FOTOLUMINESCENTE, RETANGULAR, *13 X 26* CM, EM PVC *2* MM ANTI-CHAMAS (SIMBOLOS, CORES E PICTOGRAMAS CONFORME NBR 16820) - FORNECIMENTO E INSTALAÇÃO - SAÍDA</t>
  </si>
  <si>
    <t>SEPTO</t>
  </si>
  <si>
    <t>Eng. Juliano Gessele</t>
  </si>
  <si>
    <t>REMOÇÃO DE PORTAS, DE FORMA MANUAL, SEM REAPROVEITAMENTO. AF_12/2017</t>
  </si>
  <si>
    <t>HIDROSSANITÁRIO</t>
  </si>
  <si>
    <t>KIT DE PORTA-PRONTA DE MADEIRA EM ACABAMENTO MELAMÍNICO BRANCO, FOLHA PESADA OU SUPERPESADA, 80X210CM, FIXAÇÃO COM PREENCHIMENTO PARCIAL DE ESPUMA EXPANSIVA - FORNECIMENTO E INSTALAÇÃO. AF_12/2019</t>
  </si>
  <si>
    <t>JANELA DE ALUMÍNIO TIPO MAXIM-AR, COM VIDROS, BATENTE E FERRAGENS. EXCLUSIVE ALIZAR, ACABAMENTO E CONTRAMARCO. FORNECIMENTO E INSTALAÇÃO. AF_12/2019</t>
  </si>
  <si>
    <t>CONTRAMARCO DE ALUMÍNIO, FIXAÇÃO COM ARGAMASSA - FORNECIMENTO E INSTALAÇÃO. AF_12/2019</t>
  </si>
  <si>
    <t>CHAPISCO APLICADO EM ALVENARIA (COM PRESENÇA DE VÃOS) E ESTRUTURAS DE CONCRETO DE FACHADA, COM COLHER DE PEDREIRO. ARGAMASSA TRAÇO 1:3 COM PREPARO EM BETONEIRA 400L. AF_06/2014</t>
  </si>
  <si>
    <t>EMBOÇO OU MASSA ÚNICA EM ARGAMASSA TRAÇO 1:2:8, PREPARO MECÂNICO COM BETONEIRA 400 L, APLICADA MANUALMENTE EM PANOS DE FACHADA COM PRESENÇA DE VÃOS, ESPESSURA DE 25 MM. AF_06/2014</t>
  </si>
  <si>
    <t>PREPARO DO PISO CIMENTADO PARA PINTURA - LIXAMENTO E LIMPEZA. AF_05/2021</t>
  </si>
  <si>
    <t>PINTURA DE PISO COM TINTA EPÓXI, APLICAÇÃO MANUAL, 2 DEMÃOS, INCLUSO PRIMER EPÓXI. AF_05/2021</t>
  </si>
  <si>
    <t>ÁREA EXTERNA/JARDIM</t>
  </si>
  <si>
    <t>LASTRO COM MATERIAL GRANULAR, APLICADO EM PISOS OU LAJES SOBRE SOLO, ESPESSURA DE *5 CM*. AF_08/2017</t>
  </si>
  <si>
    <t>JOELHO 90 GRAUS, PVC, SOLDÁVEL, DN 25MM, INSTALADO EM RAMAL OU SUB-RAMAL DE ÁGUA - FORNECIMENTO E INSTALAÇÃO. AF_12/2014</t>
  </si>
  <si>
    <t>TUBO, PVC, SOLDÁVEL, DN 25MM, INSTALADO EM RAMAL OU SUB-RAMAL DE ÁGUA- FORNECIMENTO E INSTALAÇÃO. AF_12/2014</t>
  </si>
  <si>
    <t>TE, PVC, SOLDÁVEL, DN 25MM, INSTALADO EM RAMAL OU SUB-RAMAL DE ÁGUA - FORNECIMENTO E INSTALAÇÃO. AF_12/2014</t>
  </si>
  <si>
    <t>LAVATÓRIO LOUÇA BRANCA COM COLUNA, *44 X 35,5* CM, PADRÃO POPULAR - FORNECIMENTO E INSTALAÇÃO. AF_01/2020</t>
  </si>
  <si>
    <t>JOELHO 90 GRAUS COM BUCHA DE LATÃO, PVC, SOLDÁVEL, DN 25MM, X 3/4 INSTALADO EM RAMAL OU SUB-RAMAL DE ÁGUA - FORNECIMENTO E INSTALAÇÃO. AF_12/2014</t>
  </si>
  <si>
    <t>REGISTRO DE ESFERA, PVC, SOLDÁVEL, COM VOLANTE, DN 25 MM - FORNECIMENTO E INSTALAÇÃO. AF_08/2021</t>
  </si>
  <si>
    <t>KIT DE REGISTRO DE GAVETA BRUTO DE LATÃO ¾", INCLUSIVE CONEXÕES, ROSCÁVEL, INSTALADO EM RAMAL DE ÁGUA FRIA - FORNECIMENTO E INSTALAÇÃO. AF_12/2014</t>
  </si>
  <si>
    <t>CAIXA SIFONADA, PVC, DN 100 X 100 X 50 MM, JUNTA ELÁSTICA, FORNECIDA E INSTALADA EM RAMAL DE DESCARGA OU EM RAMAL DE ESGOTO SANITÁRIO. AF_12/2014</t>
  </si>
  <si>
    <t>CAIXA DE GORDURA PEQUENA (CAPACIDADE: 19 L), CIRCULAR, EM PVC, DIÂMETRO INTERNO= 0,3 M. AF_12/2020</t>
  </si>
  <si>
    <t>MÃO DE OBRA AUXILIAR</t>
  </si>
  <si>
    <t>REDUCAO EXCENTRICA PVC P/ ESG PREDIAL DN 100 X 50MM</t>
  </si>
  <si>
    <t>ANEL BORRACHA PARA TUBO ESGOTO PREDIAL, DN 50 MM (NBR 5688)</t>
  </si>
  <si>
    <t>20078</t>
  </si>
  <si>
    <t>PASTA LUBRIFICANTE PARA TUBOS E CONEXOES COM JUNTA ELASTICA, EMBALAGEM DE *400* GR (USO EM PVC, ACO, POLIETILENO E OUTROS)</t>
  </si>
  <si>
    <t>31,44</t>
  </si>
  <si>
    <t>0,0700000</t>
  </si>
  <si>
    <t>REDUCAO EXCENTRICA PVC P/ ESG PREDIAL DN 100 X 75MM</t>
  </si>
  <si>
    <t>ANEL BORRACHA PARA TUBO ESGOTO PREDIAL, DN 75 MM (NBR 5688)</t>
  </si>
  <si>
    <t>REDUCAO EXCENTRICA PVC P/ ESG PREDIAL DN 100 X 50MM (FORNECIDO E INSTALADO)</t>
  </si>
  <si>
    <t>REDUCAO EXCENTRICA PVC P/ ESG PREDIAL DN 100 X 75MM (FORNECIDO E INSTALADO)</t>
  </si>
  <si>
    <t>TUBO PVC, SERIE NORMAL, ESGOTO PREDIAL, DN 40 MM, FORNECIDO E INSTALADO EM RAMAL DE DESCARGA OU RAMAL DE ESGOTO SANITÁRIO. AF_12/2014</t>
  </si>
  <si>
    <t>TUBO PVC, SERIE NORMAL, ESGOTO PREDIAL, DN 50 MM, FORNECIDO E INSTALADO EM RAMAL DE DESCARGA OU RAMAL DE ESGOTO SANITÁRIO. AF_12/2014</t>
  </si>
  <si>
    <t>TUBO PVC, SERIE NORMAL, ESGOTO PREDIAL, DN 75 MM, FORNECIDO E INSTALADO EM RAMAL DE DESCARGA OU RAMAL DE ESGOTO SANITÁRIO. AF_12/2014</t>
  </si>
  <si>
    <t>TUBO PVC, SERIE NORMAL, ESGOTO PREDIAL, DN 100 MM, FORNECIDO E INSTALADO EM RAMAL DE DESCARGA OU RAMAL DE ESGOTO SANITÁRIO. AF_12/2014</t>
  </si>
  <si>
    <t>JUNÇÃO SIMPLES, PVC, SERIE NORMAL, ESGOTO PREDIAL, DN 100 X 100 MM, JUNTA ELÁSTICA, FORNECIDO E INSTALADO EM RAMAL DE DESCARGA OU RAMAL DE ESGOTO SANITÁRIO. AF_12/2014</t>
  </si>
  <si>
    <t>CURVA CURTA 90 GRAUS, PVC, SERIE NORMAL, ESGOTO PREDIAL, DN 50 MM, JUNTA ELÁSTICA, FORNECIDO E INSTALADO EM PRUMADA DE ESGOTO SANITÁRIO OU VENTILAÇÃO. AF_12/2014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</si>
  <si>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</si>
  <si>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40 MM, JUNTA SOLDÁVEL, FORNECIDO E INSTALADO EM RAMAL DE DESCARGA OU RAMAL DE ESGOTO SANITÁRIO. AF_12/2014</t>
  </si>
  <si>
    <t>JOELHO 45 GRAUS, PVC, SERIE NORMAL, ESGOTO PREDIAL, DN 50 MM, JUNTA ELÁSTICA, FORNECIDO E INSTALADO EM RAMAL DE DESCARGA OU RAMAL DE ESGOTO SANITÁRIO. AF_12/2014</t>
  </si>
  <si>
    <t>JOELHO 45 GRAUS, PVC, SERIE NORMAL, ESGOTO PREDIAL, DN 100 MM, JUNTA E LÁSTICA, FORNECIDO E INSTALADO EM RAMAL DE DESCARGA OU RAMAL DE ESGOTO SANITÁRIO. AF_12/2014</t>
  </si>
  <si>
    <t>JOELHO 45 GRAUS, PVC, SERIE NORMAL, ESGOTO PREDIAL, DN 40 MM, JUNTA SOLDÁVEL, FORNECIDO E INSTALADO EM RAMAL DE DESCARGA OU RAMAL DE ESGOTO SANITÁRIO. AF_12/2014</t>
  </si>
  <si>
    <t>RASGO EM ALVENARIA PARA RAMAIS/ DISTRIBUIÇÃO COM DIAMETROS MENORES OU IGUAIS A 40 MM. AF_05/2015</t>
  </si>
  <si>
    <t>RASGO EM CONTRAPISO PARA RAMAIS/ DISTRIBUIÇÃO COM DIÂMETROS MAIORES QUE 75 MM. AF_05/2015</t>
  </si>
  <si>
    <t>ESCAVAÇÃO MANUAL DE VALA COM PROFUNDIDADE MENOR OU IGUAL A 1,30 M. AF_02/2021</t>
  </si>
  <si>
    <t>REATERRO MANUAL DE VALAS COM COMPACTAÇÃO MECANIZADA. AF_04/2016</t>
  </si>
  <si>
    <t>122</t>
  </si>
  <si>
    <t>ADESIVO PLASTICO PARA PVC, FRASCO COM *850* GR</t>
  </si>
  <si>
    <t>0,0710000</t>
  </si>
  <si>
    <t>76,17</t>
  </si>
  <si>
    <t>20083</t>
  </si>
  <si>
    <t>SOLUCAO PREPARADORA / LIMPADORA PARA PVC, FRASCO COM 1000 CM3</t>
  </si>
  <si>
    <t>0,0900000</t>
  </si>
  <si>
    <t>86,30</t>
  </si>
  <si>
    <t>38383</t>
  </si>
  <si>
    <t>LIXA D'AGUA EM FOLHA, GRAO 100</t>
  </si>
  <si>
    <t>0,0590000</t>
  </si>
  <si>
    <t>TE DE REDUÇÃO, PVC, SOLDÁVEL, DN 100MM X 50MM - FORNECIMENTO E INSTALAÇÃO. AF_12/2014</t>
  </si>
  <si>
    <t>TE DE REDUCAO, PVC, SOLDAVEL, 90 GRAUS, 100 MM X 50 MM</t>
  </si>
  <si>
    <t>INTERRUPTOR SIMPLES (1 MÓDULO), 10A/250V, INCLUINDO SUPORTE E PLACA - FORNECIMENTO E INSTALAÇÃO. AF_12/2015</t>
  </si>
  <si>
    <t>TOMADA BAIXA DE EMBUTIR (1 MÓDULO), 2P+T 10 A, INCLUINDO SUPORTE E PLACA - FORNECIMENTO E INSTALAÇÃO. AF_12/2015</t>
  </si>
  <si>
    <t>CAIXA RETANGULAR 4" X 2" BAIXA (0,30 M DO PISO), PVC, INSTALADA EM PAREDE - FORNECIMENTO E INSTALAÇÃO. AF_12/2015</t>
  </si>
  <si>
    <t>1.1</t>
  </si>
  <si>
    <t>2.1</t>
  </si>
  <si>
    <t>3.1</t>
  </si>
  <si>
    <t>3.2</t>
  </si>
  <si>
    <t>3.3</t>
  </si>
  <si>
    <t>3.4</t>
  </si>
  <si>
    <t>3.5</t>
  </si>
  <si>
    <t>4.1</t>
  </si>
  <si>
    <t>4.2</t>
  </si>
  <si>
    <t>4.3</t>
  </si>
  <si>
    <t>4.4</t>
  </si>
  <si>
    <t>5.1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</si>
  <si>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</si>
  <si>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</si>
  <si>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</si>
  <si>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</si>
  <si>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</si>
  <si>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</si>
  <si>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</si>
  <si>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</si>
  <si>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</si>
  <si>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</si>
  <si>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</si>
  <si>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</si>
  <si>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</si>
  <si>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</si>
  <si>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</si>
  <si>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</si>
  <si>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</si>
  <si>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</si>
  <si>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</si>
  <si>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</si>
  <si>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</si>
  <si>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</si>
  <si>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</si>
  <si>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</si>
  <si>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</si>
  <si>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</si>
  <si>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5.30</t>
  </si>
  <si>
    <t>5.31</t>
  </si>
  <si>
    <t>5.32</t>
  </si>
  <si>
    <t>7.1</t>
  </si>
  <si>
    <t>8.1</t>
  </si>
  <si>
    <t>EXTINTOR DE INCÊNDIO PORTÁTIL COM CARGA DE PQS DE 4 KG, CLASSE BC - FORNECIMENTO E INSTALAÇÃO. AF_10/2020_P</t>
  </si>
  <si>
    <t>https://www.carrefour.com.br/filtro-de-linha-12-tomadas-preto-force-line-mp20927089/p</t>
  </si>
  <si>
    <t>https://www.amazon.com.br/Switch-Portas-Gigabit-Tp-link-TL-SG1024D/dp/B07MQ22QWY/ref=asc_df_B07MQ22QWY/?tag=googleshopp00-20&amp;linkCode=df0&amp;hvadid=379725653161&amp;hvpos=&amp;hvnetw=g&amp;hvrand=3655996230031447109&amp;hvpone=&amp;hvptwo=&amp;hvqmt=&amp;hvdev=c&amp;hvdvcmdl=&amp;hvlocint=&amp;hvlocphy=9102159&amp;hvtargid=pla-892385588626&amp;psc=1</t>
  </si>
  <si>
    <t>https://www.amazon.com.br/Switch-24-Portas-Gigabit-TL-SG1024D/dp/B07CMMP8ZP/ref=asc_df_B07CMMP8ZP/?tag=googleshopp00-20&amp;linkCode=df0&amp;hvadid=379725653161&amp;hvpos=&amp;hvnetw=g&amp;hvrand=3655996230031447109&amp;hvpone=&amp;hvptwo=&amp;hvqmt=&amp;hvdev=c&amp;hvdvcmdl=&amp;hvlocint=&amp;hvlocphy=9102159&amp;hvtargid=pla-894641649007&amp;psc=1</t>
  </si>
  <si>
    <t>https://www.amazon.com.br/Switch-Intelbras-SG-2400-QR/dp/B0752CSZ4S/ref=asc_df_B0752CSZ4S/?tag=googleshopp00-20&amp;linkCode=df0&amp;hvadid=426249876891&amp;hvpos=&amp;hvnetw=g&amp;hvrand=3655996230031447109&amp;hvpone=&amp;hvptwo=&amp;hvqmt=&amp;hvdev=c&amp;hvdvcmdl=&amp;hvlocint=&amp;hvlocphy=9102159&amp;hvtargid=pla-893458542864&amp;psc=1</t>
  </si>
  <si>
    <t>PATCH PANEL 24 PORTAS, CATEGORIA 6 - FORNECIMENTO E INSTALAÇÃO. AF_11/2019</t>
  </si>
  <si>
    <t>RÉGUA DE TOMADA 12 TOMADAS</t>
  </si>
  <si>
    <t>SWITCH GERENCIÁVEL 24 PORTAS</t>
  </si>
  <si>
    <t>DISJUNTOR BIPOLAR TIPO DIN, CORRENTE NOMINAL DE 50A - FORNECIMENTO E INSTALAÇÃO. AF_10/2020</t>
  </si>
  <si>
    <t>COMPOSIÇÕES</t>
  </si>
  <si>
    <t>Código</t>
  </si>
  <si>
    <t>Descrição</t>
  </si>
  <si>
    <t>Valor Final</t>
  </si>
  <si>
    <t>Undade</t>
  </si>
  <si>
    <t>Código Insumo</t>
  </si>
  <si>
    <t>Descrição Insumo</t>
  </si>
  <si>
    <t>Unidade</t>
  </si>
  <si>
    <t>Coeficiente</t>
  </si>
  <si>
    <t>Valor</t>
  </si>
  <si>
    <t>Valor Unit</t>
  </si>
  <si>
    <t xml:space="preserve">COTAÇÕES </t>
  </si>
  <si>
    <t>Item</t>
  </si>
  <si>
    <t>Data</t>
  </si>
  <si>
    <t>Racks</t>
  </si>
  <si>
    <t>Filtro de Linha</t>
  </si>
  <si>
    <t>Switch</t>
  </si>
  <si>
    <t>Média</t>
  </si>
  <si>
    <t>DISPOSITIVO DPS CLASSE I + II 60KA e 275V 1 POLOS (1F) - FORNECIMENTO E INSTALAÇÃO</t>
  </si>
  <si>
    <t>LIXAMENTO DE MADEIRA PARA APLICAÇÃO DE FUNDO OU PINTURA. AF_01/2021</t>
  </si>
  <si>
    <t>CABO FLEXIVEL PVC 750 V, 3 CONDUTORES DE 4,0 MM2</t>
  </si>
  <si>
    <t>http://www.infraeletrocalhas.com.br/eletrocalhas.asp</t>
  </si>
  <si>
    <t>POSTE DE CONCRETO ARMADO DE SECAO DUPLO T, EXTENSAO DE 11,00 M, RESISTENCIA DE 150 DAN, TIPO D</t>
  </si>
  <si>
    <t>TORNEIRA DE BOIA PARA CAIXA D'ÁGUA, ROSCÁVEL, 3/4" - FORNECIMENTO E INSTALAÇÃO. AF_08/2021</t>
  </si>
  <si>
    <t>ADAPTADOR COM FLANGE E ANEL DE VEDAÇÃO, PVC, SOLDÁVEL, DN 25 MM X 3/4 , INSTALADO EM RESERVAÇÃO DE ÁGUA DE EDIFICAÇÃO QUE POSSUA RESERVATÓRIO DE FIBRA/FIBROCIMENTO FORNECIMENTO E INSTALAÇÃO. AF_06/2016</t>
  </si>
  <si>
    <t>Reforma em imóvel da DPE/PR no CIAADI</t>
  </si>
  <si>
    <t>2.3</t>
  </si>
  <si>
    <t>2.4</t>
  </si>
  <si>
    <t>2.8</t>
  </si>
  <si>
    <t>2.9</t>
  </si>
  <si>
    <t>2.10</t>
  </si>
  <si>
    <t>2.11</t>
  </si>
  <si>
    <t>2.12</t>
  </si>
  <si>
    <t>4.5</t>
  </si>
  <si>
    <t>ART</t>
  </si>
  <si>
    <t>ENGENHEIRO CIVIL DE OBRA JUNIOR COM ENCARGOS COMPLEMENTARES</t>
  </si>
  <si>
    <t>EXECUÇÃO DE PASSEIO (CALÇADA) OU PISO DE CONCRETO COM CONCRETO MOLDADO IN LOCO, FEITO EM OBRA, ACABAMENTO CONVENCIONAL, ESPESSURA 6 CM, ARMADO. AF_07/2016</t>
  </si>
  <si>
    <t>CANALETA MEIA CANA PRÉ-MOLDADA DE CONCRETO (D = 20 CM) - FORNECIMENTO E INSTALAÇÃO. AF_08/2021</t>
  </si>
  <si>
    <t>ALVENARIA DE VEDAÇÃO DE BLOCOS CERÂMICOS MACIÇOS DE 5X10X20CM (ESPESSURA 10CM) E ARGAMASSA DE ASSENTAMENTO COM PREPARO EM BETONEIRA. AF_05/2020</t>
  </si>
  <si>
    <t>FORRO EM MADEIRA PINUS, PARA AMBIENTES RESIDENCIAIS, INCLUSIVE ESTRUTURA DE FIXAÇÃO. AF_05/2017</t>
  </si>
  <si>
    <t>ACABAMENTOS PARA FORRO (RODA-FORRO EM MADEIRA PINUS). AF_05/2017</t>
  </si>
  <si>
    <t>PAREDE COM PLACAS DE GESSO ACARTONADO (DRYWALL), PARA USO INTERNO, COM DUAS FACES DUPLAS E ESTRUTURA METÁLICA COM GUIAS SIMPLES, SEM VÃOS. AF_06/2017_P</t>
  </si>
  <si>
    <t>PINTURA TINTA DE ACABAMENTO (PIGMENTADA) A ÓLEO EM MADEIRA, 2 DEMÃOS. AF_01/2021</t>
  </si>
  <si>
    <t>PINTURA VERNIZ (INCOLOR) ALQUÍDICO EM MADEIRA, USO INTERNO E EXTERNO, 2 DEMÃOS. AF_01/2021</t>
  </si>
  <si>
    <t>4.1.1</t>
  </si>
  <si>
    <t>4.1.2</t>
  </si>
  <si>
    <t>4.1.3</t>
  </si>
  <si>
    <t>4.1.4</t>
  </si>
  <si>
    <t>4.1.5</t>
  </si>
  <si>
    <t>4.5.1</t>
  </si>
  <si>
    <t>4.5.2</t>
  </si>
  <si>
    <t>4.5.3</t>
  </si>
  <si>
    <t>4.4.1</t>
  </si>
  <si>
    <t>4.4.2</t>
  </si>
  <si>
    <t>4.4.3</t>
  </si>
  <si>
    <t>4.4.4</t>
  </si>
  <si>
    <t>4.4.5</t>
  </si>
  <si>
    <t>4.4.6</t>
  </si>
  <si>
    <t>4.4.7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</si>
  <si>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</si>
  <si>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</si>
  <si>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</si>
  <si>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</si>
  <si>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</si>
  <si>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</si>
  <si>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</si>
  <si>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</si>
  <si>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</si>
  <si>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4.2.1</t>
  </si>
  <si>
    <t>4.2.2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</si>
  <si>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</si>
  <si>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</si>
  <si>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</si>
  <si>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</si>
  <si>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</si>
  <si>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</si>
  <si>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</si>
  <si>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</si>
  <si>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</si>
  <si>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</si>
  <si>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</si>
  <si>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</si>
  <si>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</si>
  <si>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</si>
  <si>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</si>
  <si>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</si>
  <si>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</si>
  <si>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</si>
  <si>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6.23</t>
  </si>
  <si>
    <t>6.24</t>
  </si>
  <si>
    <t>6.25</t>
  </si>
  <si>
    <t>6.26</t>
  </si>
  <si>
    <t>6.27</t>
  </si>
  <si>
    <t>6.28</t>
  </si>
  <si>
    <t>6.29</t>
  </si>
  <si>
    <t>6.30</t>
  </si>
  <si>
    <t>6.31</t>
  </si>
  <si>
    <t>6.32</t>
  </si>
  <si>
    <t>6.33</t>
  </si>
  <si>
    <t>6.34</t>
  </si>
  <si>
    <t>6.35</t>
  </si>
  <si>
    <t>6.36</t>
  </si>
  <si>
    <t>6.37</t>
  </si>
  <si>
    <t>6.38</t>
  </si>
  <si>
    <t>6.39</t>
  </si>
  <si>
    <t>6.40</t>
  </si>
  <si>
    <t>6.41</t>
  </si>
  <si>
    <t>6.42</t>
  </si>
  <si>
    <t>6.43</t>
  </si>
  <si>
    <t>6.44</t>
  </si>
  <si>
    <t>6.45</t>
  </si>
  <si>
    <t>6.46</t>
  </si>
  <si>
    <t>6.47</t>
  </si>
  <si>
    <t>6.48</t>
  </si>
  <si>
    <t>6.49</t>
  </si>
  <si>
    <t>6.50</t>
  </si>
  <si>
    <t>6.51</t>
  </si>
  <si>
    <t>6.52</t>
  </si>
  <si>
    <t>6.53</t>
  </si>
  <si>
    <t>6.54</t>
  </si>
  <si>
    <t>7.2</t>
  </si>
  <si>
    <t>7.3</t>
  </si>
  <si>
    <t>7.4</t>
  </si>
  <si>
    <t>9.1</t>
  </si>
  <si>
    <t>BARRA DE APOIO RETA, EM ACO INOX POLIDO, COMPRIMENTO 80 CM, FIXADA NA PAREDE - FORNECIMENTO E INSTALAÇÃO. AF_01/2020</t>
  </si>
  <si>
    <t>BARRA DE APOIO RETA, EM ACO INOX POLIDO, COMPRIMENTO 70 CM, FIXADA NA PAREDE - FORNECIMENTO E INSTALAÇÃO. AF_01/2020</t>
  </si>
  <si>
    <t>4.5.4</t>
  </si>
  <si>
    <t>KIT DE PORTA-PRONTA DE MADEIRA EM ACABAMENTO MELAMÍNICO BRANCO, FOLHA PESADA OU SUPERPESADA, 90X210CM, FIXAÇÃO COM PREENCHIMENTO TOTAL DE ESPUMA EXPANSIVA - FORNECIMENTO E INSTALAÇÃO. AF_12/2019</t>
  </si>
  <si>
    <t>4.1.6</t>
  </si>
  <si>
    <t>PLACA / CHAPA DE GESSO ACARTONADO, STANDARD (ST), COR BRANCA, E = 12,5 MM, 1200 X 1800 MM (L X C)</t>
  </si>
  <si>
    <t>GESSEIRO COM ENCARGOS COMPLEMENTARES</t>
  </si>
  <si>
    <t>Torneira adaptada PNE</t>
  </si>
  <si>
    <t>https://www.construmarques.com.br/produto/torneira-para-banheiro-deca-link-conforto-bica-alta-mesa-cromado-1196-c-lnk-73605?utm_source=&amp;utm_medium=&amp;utm_campaign=&amp;srsltid=AdGWZVQYqVhSOiutIjyDB_mBs_sRTChFLE-unY0eYqZ7NKBEUIeGBN9bEgQ</t>
  </si>
  <si>
    <t>https://www.tocaobra.com.br/p/6503789/torneira-de-mesa-conforto-bica-alta-para-lavatorio-deca-1196clnk-unitario?gclid=EAIaIQobChMIuK-h-6uS-gIVPEFIAB3xmAwoEAQYByABEgIbmfD_BwE</t>
  </si>
  <si>
    <t>https://www.leroymerlin.com.br/torneira-para-pia-de-banheiro-e-hospitalar-bica-baixa-cromada-link-deca_88445413?store_code=35&amp;gclid=EAIaIQobChMIuK-h-6uS-gIVPEFIAB3xmAwoEAQYAyABEgJxs_D_BwE</t>
  </si>
  <si>
    <t>COT. 001</t>
  </si>
  <si>
    <t>COT. 002</t>
  </si>
  <si>
    <t>COT. 003</t>
  </si>
  <si>
    <t>COT. 004</t>
  </si>
  <si>
    <t>COMP. 004</t>
  </si>
  <si>
    <t>COMP. 005</t>
  </si>
  <si>
    <t>COMP. 007</t>
  </si>
  <si>
    <t>COMP. 008</t>
  </si>
  <si>
    <t>COMP. 009</t>
  </si>
  <si>
    <t>3146</t>
  </si>
  <si>
    <t>FITA VEDA ROSCA EM ROLOS DE 18 MM X 10 M (L X C)</t>
  </si>
  <si>
    <t>0,0210000</t>
  </si>
  <si>
    <t>0,0960000</t>
  </si>
  <si>
    <t>27,04</t>
  </si>
  <si>
    <t>0,0303000</t>
  </si>
  <si>
    <t>21,37</t>
  </si>
  <si>
    <t>TORNEIRA DE MESA/BANCADA, PARA LAVATORIO, ADAPTADA PARA PNE</t>
  </si>
  <si>
    <t>COMP.017</t>
  </si>
  <si>
    <t>COT. 005</t>
  </si>
  <si>
    <t>APLICAÇÃO MANUAL DE TINTA RESINA ACRÍLICA  PREMIUM PARA CERÂMICA EM PAREDE EXTERNAS DE CASAS, DUAS DEMÃOS.</t>
  </si>
  <si>
    <t>PINTOR COM ENCARGOS COMPLEMENTARES</t>
  </si>
  <si>
    <t>TINTA/RESINA ACRILICA PREMIUM PARA CERAMICA (REF. RESINA ACRILICA FUSEPROTEC VIAPOL</t>
  </si>
  <si>
    <t>COMP.018</t>
  </si>
  <si>
    <t>PUXADOR PARA PCD, FIXADO NA PORTA - FORNECIMENTO E INSTALAÇÃO. AF_01/2020</t>
  </si>
  <si>
    <t>ESPELHO CRISTAL E = 4 MM</t>
  </si>
  <si>
    <t xml:space="preserve">CAÇAMBA DE ESTACIONÁRIA P/ ENTULHOS MÍNIMO 4M3 </t>
  </si>
  <si>
    <t>Contratações Similares</t>
  </si>
  <si>
    <t>Município de Engenheiro Beltrão- PR/ Pregão 652022</t>
  </si>
  <si>
    <t>Município de Cafelândia/ MDC 322022</t>
  </si>
  <si>
    <t>Município de Cafelândia/ MDC 312022</t>
  </si>
  <si>
    <t>Pesquisa Internet</t>
  </si>
  <si>
    <t>REMOÇÃO DE JANELAS, DE FORMA MANUAL, SEM REAPROVEITAMENTO. AF_12/2017</t>
  </si>
  <si>
    <t>REMOÇÃO DE INTERRUPTORES/TOMADAS ELÉTRICAS, DE FORMA MANUAL, SEM REAPROVEITAMENTO. AF_12/2017</t>
  </si>
  <si>
    <t>REMOÇÃO DE CABOS ELÉTRICOS, DE FORMA MANUAL, SEM REAPROVEITAMENTO. AF_12/2017</t>
  </si>
  <si>
    <t>REMOÇÃO DE LUMINÁRIAS, DE FORMA MANUAL, SEM REAPROVEITAMENTO. AF_12/2017</t>
  </si>
  <si>
    <t>2.2</t>
  </si>
  <si>
    <t>2.5</t>
  </si>
  <si>
    <t>2.6</t>
  </si>
  <si>
    <t>2.7</t>
  </si>
  <si>
    <t>CONFECÇÃO E INSTALAÇÃO DE COBERTURA EM POLICARBONATO ALVEOLAR DE 6MM</t>
  </si>
  <si>
    <t>COT. 006</t>
  </si>
  <si>
    <t>Prefeitura Municipal de Mariopolis-PR/ Pregão 632021</t>
  </si>
  <si>
    <t>Caçamba estacionária mín. 4m3(Por unidade)</t>
  </si>
  <si>
    <t>Confecção e Instalação de cobertura em policarbonato alveolar de 6 mm (Por m²)</t>
  </si>
  <si>
    <t>Prefeitura Municipal de Paula Freitas-PR/ Pregão 882021</t>
  </si>
  <si>
    <t>Prefeitura Municipal de Presidente Castelo Branco-PR/ Pregão 762021</t>
  </si>
  <si>
    <t>COT. 007</t>
  </si>
  <si>
    <t>Confecção e Instalação de gradil metálico (Por m²)</t>
  </si>
  <si>
    <t>CONFECÇÃO E INSTALAÇÃO DE GRADIL METÁLICO</t>
  </si>
  <si>
    <t>Prefeitura Municipal de Francisco Beltrão-PR/ Pregão 1542022</t>
  </si>
  <si>
    <t>Prefeitura Municipal de Nova Santa Rosa-PR/ Pregão 772021</t>
  </si>
  <si>
    <t>ALVENARIA DE VEDAÇÃO DE BLOCOS VAZADOS DE CONCRETO DE 14X19X39 CM (ESPESSURA 14 CM) E ARGAMASSA DE ASSENTAMENTO COM PREPARO EM BETONEIRA. AF_12/2021</t>
  </si>
  <si>
    <t>4.3.10</t>
  </si>
  <si>
    <t>CONCRETAGEM DE VIGAS E LAJES, FCK=25 MPA, PARA QUALQUER TIPO DE LAJE COM BALDES EM EDIFICAÇÃO TÉRREA - LANÇAMENTO, ADENSAMENTO E ACABAMENTO.AF_02/2022</t>
  </si>
  <si>
    <t>4.3.11</t>
  </si>
  <si>
    <t>TOTAL (R$)</t>
  </si>
  <si>
    <t xml:space="preserve">TOTAL (%) </t>
  </si>
  <si>
    <t>MÊS 01</t>
  </si>
  <si>
    <t>MÊS 02</t>
  </si>
  <si>
    <t>MÊS 03</t>
  </si>
  <si>
    <t>MÊS 04</t>
  </si>
  <si>
    <t>MÊS 05</t>
  </si>
  <si>
    <t>MÊS 06</t>
  </si>
  <si>
    <t>MÊS 07</t>
  </si>
  <si>
    <t>MÊS 08</t>
  </si>
  <si>
    <t>MÊS 09</t>
  </si>
  <si>
    <t>MÊS 10</t>
  </si>
  <si>
    <t>ACUMULADO</t>
  </si>
  <si>
    <t>VALORES TOTAIS</t>
  </si>
  <si>
    <t>%</t>
  </si>
  <si>
    <t>R$</t>
  </si>
  <si>
    <t>VALORES ACUMULADOS</t>
  </si>
  <si>
    <t>CRONOGRAMA FÍSICO-FINANCEIRO ESTIMATIVO</t>
  </si>
  <si>
    <t>A REFORMAR</t>
  </si>
  <si>
    <t>ETAPAS</t>
  </si>
  <si>
    <t>MESES</t>
  </si>
  <si>
    <t>GERAL</t>
  </si>
  <si>
    <t>TOTAIS (semanas)</t>
  </si>
  <si>
    <t>CRONOGRAMA ESTIMATIVO</t>
  </si>
  <si>
    <t>REFORMA IMÓVEL CIAADI</t>
  </si>
  <si>
    <t>ADEQUAÇÃO CIVIL - PORTAS/JANELAS/RODAPÉS</t>
  </si>
  <si>
    <t>ADEQUAÇÃO CIVIL - FORRO</t>
  </si>
  <si>
    <t>ADEQUAÇÃO CIVIL - PINTURA</t>
  </si>
  <si>
    <t>ADEQUAÇÃO CIVIL - ACESSÓRIOS</t>
  </si>
  <si>
    <t>RESUMO DO ORÇAMENTO</t>
  </si>
  <si>
    <t>TOTAL GERAL</t>
  </si>
  <si>
    <t>CREA</t>
  </si>
  <si>
    <t>ADMINISTRAÇÃO DA OBRA</t>
  </si>
  <si>
    <t>ADEQUAÇÃO CIVIL - PISO/ALVENARIA/REVESTIMENTO/IMPERMEABILIZAÇÃO</t>
  </si>
  <si>
    <t>SPDA</t>
  </si>
  <si>
    <t>IMPERMEABILIZAÇÃO DE SUPERFÍCIE COM ARGAMASSA POLIMÉRICA / MEMBRANA ACRÍLICA, 3 DEMÃOS. AF_06/2018</t>
  </si>
  <si>
    <t>CINTA DE AMARRAÇÃO DE ALVENARIA MOLDADA IN LOCO EM CONCRETO. AF_03/2016</t>
  </si>
  <si>
    <t>DEMOLIÇÃO DE ARGAMASSAS, DE FORMA MANUAL, SEM REAPROVEITAMENTO. AF_12/2017</t>
  </si>
  <si>
    <t>DEMOLIÇÃO DE REVESTIMENTO CERÂMICO, DE FORMA MANUAL, SEM REAPROVEITAMENTO. AF_12/2017</t>
  </si>
  <si>
    <t>FURO EM ALVENARIA PARA DIÂMETROS MAIORES QUE 40 MM E MENORES OU IGUAIS A 75 MM. AF_05/2015</t>
  </si>
  <si>
    <t>FURO EM ALVENARIA PARA DIÂMETROS MENORES OU IGUAIS A 40 MM. AF_05/2015</t>
  </si>
  <si>
    <t>RASGO EM CONTRAPISO PARA RAMAIS/ DISTRIBUIÇÃO COM DIÂMETROS MENORES OU IGUAIS A 40 MM. AF_05/2015</t>
  </si>
  <si>
    <t>RASGO EM CONTRAPISO PARA RAMAIS/ DISTRIBUIÇÃO COM DIÂMETROS MAIORES QUE 40 MM E MENORES OU IGUAIS A 75 MM. AF_05/2015</t>
  </si>
  <si>
    <t>SERVIÇOS PRELIMINARES - DEMOLIÇÕES, ESCAVAÇÕES, REATERROS, RASGOS E RETIRADAS</t>
  </si>
  <si>
    <t>CHUMBAMENTO LINEAR EM ALVENARIA PARA RAMAIS/DISTRIBUIÇÃO COM DIÂMETROS MENORES OU IGUAIS A 40 MM. AF_05/2015</t>
  </si>
  <si>
    <t>CHUMBAMENTO LINEAR EM CONTRAPISO PARA RAMAIS/DISTRIBUIÇÃO COM DIÂMETROS MENORES OU IGUAIS A 40 MM. AF_05/2015</t>
  </si>
  <si>
    <t>CHUMBAMENTO LINEAR EM CONTRAPISO PARA RAMAIS/DISTRIBUIÇÃO COM DIÂMETROS MAIORES QUE 40 MM E MENORES OU IGUAIS A 75 MM. AF_05/2015</t>
  </si>
  <si>
    <t>CHUMBAMENTO LINEAR EM CONTRAPISO PARA RAMAIS/DISTRIBUIÇÃO COM DIÂMETROS MAIORES QUE 75 MM. AF_05/2015</t>
  </si>
  <si>
    <t>2.13</t>
  </si>
  <si>
    <t>2.14</t>
  </si>
  <si>
    <t>2.15</t>
  </si>
  <si>
    <t>2.16</t>
  </si>
  <si>
    <t>2.17</t>
  </si>
  <si>
    <t>4.3.12</t>
  </si>
  <si>
    <t>4.3.13</t>
  </si>
  <si>
    <t>4.3.14</t>
  </si>
  <si>
    <t>4.3.15</t>
  </si>
  <si>
    <t>CAIXA D´ÁGUA EM POLIETILENO, 150 LITROS - FORNECIMENTO E INSTALAÇÃO</t>
  </si>
  <si>
    <t>CAIXA D'AGUA EM POLIETILENO 150 LITROS, COM TAMPA</t>
  </si>
  <si>
    <t>COT. 008</t>
  </si>
  <si>
    <t>Caixa d`água em polietileno 150 L, com tampa</t>
  </si>
  <si>
    <t>https://www.leroymerlin.com.br/caixa-dagua-de-polietileno-150l-azul-fortlev_86752071?store_code=35&amp;gclid=CjwKCAjw7p6aBhBiEiwA83fGuhSh5UxFXuIbGouV6b5V0c3frRD5AK1hUg_PUDvCBm5g7Wqtbw9JOBoCi7YQAvD_BwE</t>
  </si>
  <si>
    <t>https://www.balaroti.com.br/caixa-d-agua-polietileno-150l-55x88cm-c-tpa-simples-67900/p?idsku=67900&amp;gclid=CjwKCAjw7p6aBhBiEiwA83fGuvo7zdoiFvmVvy8b4ffs52RZ2pM42erz1UR0daJLT40Uc9OX1Yzq4hoCSq8QAvD_BwE</t>
  </si>
  <si>
    <t>https://www.madeiramadeira.com.br/caixa-d-agua-150l-fortlev-1635319.html?origem=pla-1635319&amp;utm_source=google&amp;utm_medium=cpc&amp;utm_content=caixas-de-agua-4210&amp;utm_term=&amp;utm_id=17825787725&amp;gclid=CjwKCAjw7p6aBhBiEiwA83fGuvoOecJRTFfcYFd00nvY7TYihzFuk864mw9y_dsE6WOgNBL25StXvBoCTBMQAvD_BwE</t>
  </si>
  <si>
    <t>VASO SANITÁRIO SIFONADO COM CAIXA ACOPLADA LOUÇA BRANCA - PADRÃO MÉDIO, INCLUSO ENGATE FLEXÍVEL EM METAL CROMADO, 1/2 X 40CM - FORNECIMENTOE INSTALAÇÃO. AF_01/2020</t>
  </si>
  <si>
    <t>COMP.004</t>
  </si>
  <si>
    <t>COMP.005</t>
  </si>
  <si>
    <t>COT. 009</t>
  </si>
  <si>
    <t xml:space="preserve">Tê de redução, pvc, soldável, DN 100MMX50MM </t>
  </si>
  <si>
    <t>https://www.americanas.com.br/produto/4279575732?opn=YSMESP&amp;offerId=61856814d9fd6edeece46ce1&amp;srsltid=AR5OiO2XhHOXQzYFtFzjpGjSDvASdtJInfKHmlKy1KcS2dk0k2KtR_eIZE8</t>
  </si>
  <si>
    <t>https://www.casasbahia.com.br/te-pvc-esgoto-de-reducao-dn-100mm-x-50mm-fortlev-1531314069/p/1531314069?utm_medium=Cpc&amp;utm_source=google_freelisting&amp;IdSku=1531314069&amp;idLojista=12231&amp;tipoLojista=3P</t>
  </si>
  <si>
    <t>https://www.magazineluiza.com.br/tee-de-esgoto-com-reducao-100-x-50-fortlev/p/gjc79hb079/cj/joeg/?&amp;seller_id=tiktokdecoremateriaiseutilidades</t>
  </si>
  <si>
    <t>COMP.003</t>
  </si>
  <si>
    <t>CAIXA ENTERRADA HIDRÁULICA RETANGULAR, EM CONCRETO PRÉ-MOLDADO, DIMENSÕES INTERNAS: 0,6X0,6X0,5 M. AF_12/2020</t>
  </si>
  <si>
    <t>5.2</t>
  </si>
  <si>
    <t>5.29</t>
  </si>
  <si>
    <t>PLACA DE SINALIZACAO DE SEGURANCA CONTRA INCENDIO, FOTOLUMINESCENTE, RETANGULAR, *13 X 26* CM, EM PVC *2* MM ANTI-CHAMAS (SIMBOLOS, CORES E PICTOGRAMAS CONFORME NBR 16820) - FORNECIMENTO E INSTALAÇÃO - SAÍDA DE EMERGÊNCIA - SETA LATERAL</t>
  </si>
  <si>
    <t>7.5</t>
  </si>
  <si>
    <t>ASSENTAMENTO DE GUIA (MEIO-FIO) EM TRECHO RETO, CONFECCIONADA EM CONCRETO PRÉ-FABRICADO, DIMENSÕES 80X08X08X25 CM (COMPRIMENTO X BASE INFERIOR X BASE SUPERIOR X ALTURA), PARA URBANIZAÇÃO INTERNA DE EMPREENDIMENTOS. AF_06/2016</t>
  </si>
  <si>
    <t>RECOMPOSIÇÃO DE PAVIMENTO EM PISO INTERTRAVADO SEXTAVADO, COM REAPROVEITAMENTO DOS BLOCOS SEXTAVADO, PARA O FECHAMENTO DE VALAS - INCLUSO RETIRADA E COLOCAÇÃO DO MATERIAL. AF_12/2020</t>
  </si>
  <si>
    <t>3.6</t>
  </si>
  <si>
    <t>3.7</t>
  </si>
  <si>
    <t>SERVIÇOS PRELIMINARES -DEMOLIÇÕES, ESCAVAÇÕES, REATERROS, RASGOS E RETIRADAS</t>
  </si>
  <si>
    <t>ADM. OBRA</t>
  </si>
  <si>
    <t>DEMOLIÇÃO DE ALVENARIA DE TIJOLO MACIÇO, DE FORMA MANUAL, SEM REAPROVEITAMENTO. AF_12/2017</t>
  </si>
  <si>
    <t>CONTRAPISO EM ARGAMASSA TRAÇO 1:4 (CIMENTO E AREIA), PREPARO MECÂNICO COM BETONEIRA 400 L, APLICADO EM ÁREAS SECAS SOBRE LAJE, NÃO ADERIDO, ACABAMENTO NÃO REFORÇADO, ESPESSURA 6CM. AF_07/2021</t>
  </si>
  <si>
    <t>DEMOLIÇÃO DE PILARES E VIGAS EM CONCRETO ARMADO, DE FORMA MANUAL, SEM REAPROVEITAMENTO. AF_12/2017</t>
  </si>
  <si>
    <t>2.18</t>
  </si>
  <si>
    <t>4.2.3</t>
  </si>
  <si>
    <t>4.2.4</t>
  </si>
  <si>
    <t>TABUA APARELHADA *2,5 X 15* CM, EM MACARANDUBA, ANGELIM OU EQUIVALENTE DA REGIAO</t>
  </si>
  <si>
    <t>CAIBRO NAO APARELHADO *7,5 X 7,5* CM, EM MACARANDUBA, ANGELIM OU EQUIVALENTE DA REGIAO - BRUTA</t>
  </si>
  <si>
    <t>CORDOALHA DE COBRE NU 35 MM², NÃO ENTERRADA, COM ISOLADOR - FORNECIMENTO E INSTALAÇÃO. AF_12/2017</t>
  </si>
  <si>
    <t>CAPTOR TIPO FRANKLIN PARA SPDA - FORNECIMENTO E INSTALAÇÃO. AF_12/2017</t>
  </si>
  <si>
    <t>CORDOALHA DE COBRE NU 50 MM², ENTERRADA, SEM ISOLADOR - FORNECIMENTO E INSTALAÇÃO. AF_12/2017</t>
  </si>
  <si>
    <t>ELETRODUTO RÍGIDO ROSCÁVEL, PVC, DN 32 MM (1"), PARA CIRCUITOS TERMINAIS, INSTALADO EM PAREDE - FORNECIMENTO E INSTALAÇÃO. AF_12/2015</t>
  </si>
  <si>
    <t>TOMADA BAIXA DE EMBUTIR (1 MÓDULO), 2P+T 20 A, INCLUINDO SUPORTE E PLACA - FORNECIMENTO E INSTALAÇÃO. AF_12/2015</t>
  </si>
  <si>
    <t>TOMADA BAIXA DE EMBUTIR (3 MÓDULO), 2P+T 10 A, INCLUINDO SUPORTE E PLACA - FORNECIMENTO E INSTALAÇÃO. AF_12/2015</t>
  </si>
  <si>
    <t>RACK DE PAREDE 16U</t>
  </si>
  <si>
    <t>DISJUNTOR BIPOLAR TIPO DIN, CORRENTE NOMINAL DE 25A - FORNECIMENTO E INSTALAÇÃO. AF_10/2020</t>
  </si>
  <si>
    <t>DISJUNTOR BIPOLAR TIPO DIN, CORRENTE NOMINAL DE 20A - FORNECIMENTO E INSTALAÇÃO. AF_10/2020</t>
  </si>
  <si>
    <t>DISJUNTOR MONOPOLAR TIPO DIN, CORRENTE NOMINAL DE 32A - FORNECIMENTO E INSTALAÇÃO. AF_10/2020</t>
  </si>
  <si>
    <t>LÂMPADA TUBULAR LED DE 18/20 W, BASE G13 - FORNECIMENTO E INSTALAÇÃO. AF_02/2020_P</t>
  </si>
  <si>
    <t xml:space="preserve">CABO DE COBRE FLEXÍVEL ISOLADO, 2,5 MM², ANTI-CHAMA 450/750 V, PARA CIRCUITOS TERMINAIS - FORNECIMENTO E INSTALAÇÃO. AF_12/2015 </t>
  </si>
  <si>
    <t>ENTRADA DE ENERGIA ELÉTRICA, SUBTERRÂNEA, BIFÁSICA, COM CAIXA DE SOBREPOR, CABO DE 25 MM2 E DISJUNTOR DIN 63A</t>
  </si>
  <si>
    <t>11864</t>
  </si>
  <si>
    <t>CONECTOR METALICO TIPO PARAFUSO FENDIDO (SPLIT BOLT), PARA CABOS ATE 95 MM2</t>
  </si>
  <si>
    <t>11950</t>
  </si>
  <si>
    <t>BUCHA DE NYLON SEM ABA S6, COM PARAFUSO DE 4,20 X 40 MM EM ACO ZINCADO COM ROSCA SOBERBA, CABECA CHATA E FENDA PHILLIPS</t>
  </si>
  <si>
    <t>34643</t>
  </si>
  <si>
    <t>CAIXA DE INSPECAO PARA ATERRAMENTO E PARA RAIOS, EM POLIPROPILENO,  DIAMETRO = 300 MM X ALTURA = 400 MM</t>
  </si>
  <si>
    <t>39809</t>
  </si>
  <si>
    <t>CAIXA PARA MEDIDOR POLIFASICO, EM POLICARBONATO / TERMOPLASTICO, PARA ALOJAR 1 DISJUNTOR (PADRAO DA CONCESSIONARIA LOCAL)</t>
  </si>
  <si>
    <t>91872</t>
  </si>
  <si>
    <t>92984</t>
  </si>
  <si>
    <t>CABO DE COBRE FLEXÍVEL ISOLADO, 25 MM², ANTI-CHAMA 0,6/1,0 KV, PARA REDE ENTERRADA DE DISTRIBUIÇÃO DE ENERGIA ELÉTRICA - FORNECIMENTO E INSTALAÇÃO. AF_12/2021</t>
  </si>
  <si>
    <t>96977</t>
  </si>
  <si>
    <t>96986</t>
  </si>
  <si>
    <t>HASTE DE ATERRAMENTO 3/4  PARA SPDA - FORNECIMENTO E INSTALAÇÃO. AF_12/2017</t>
  </si>
  <si>
    <t>97668</t>
  </si>
  <si>
    <t>ELETRODUTO FLEXÍVEL CORRUGADO, PEAD, DN 63 (2"), PARA REDE ENTERRADA DE DISTRIBUIÇÃO DE ENERGIA ELÉTRICA - FORNECIMENTO E INSTALAÇÃO. AF_12/2021</t>
  </si>
  <si>
    <t>27,95</t>
  </si>
  <si>
    <t>22,95</t>
  </si>
  <si>
    <t>DISJUNTOR BIPOLAR TIPO DIN, CORRENTE NOMINAL DE 63A - FORNECIMENTO E INSTALAÇÃO</t>
  </si>
  <si>
    <t>TERMINAL A COMPRESSAO EM COBRE ESTANHADO PARA CABO 16 MM2, 1 FURO E 1 COMP UNRESSAO, PARA PARAFUSO DE FIXACAO M6</t>
  </si>
  <si>
    <t>DISJUNTOR TIPO DIN/IEC, BIPOLAR 63 A</t>
  </si>
  <si>
    <t xml:space="preserve">ENTRADA DE ENERGIA ELÉTRICA, SUBTERRÂNEA, BIFÁSICA, COM CAIXA DE SOBRE POR, CABO DE 25 MM2 E DISJUNTOR DIN 63A </t>
  </si>
  <si>
    <t>ELETRODUTO FLEXÍVEL CORRUGADO, PVC, DN 25 MM (3/4"), PARA CIRCUITOS TERMINAIS, INSTALADO EM FORRO - FORNECIMENTO E INSTALAÇÃO. AF_12/2015</t>
  </si>
  <si>
    <t>ELETRODUTO FLEXÍVEL CORRUGADO, PEAD, DN 50 (1 1/2"), PARA REDE ENTERRADA DE DISTRIBUIÇÃO DE ENERGIA ELÉTRICA - FORNECIMENTO E INSTALAÇÃO. AF_12/2021</t>
  </si>
  <si>
    <t>ELETRODUTO/DUTO PEAD FLEXIVEL PAREDE SIMPLES, CORRUGACAO HELICOIDAL, CORPRETA, SEM ROSCA, DE 1", PARA CABEAMENTO SUBTERRANEO (NBR 15715)</t>
  </si>
  <si>
    <t>ELETRODUTO/DUTO PEAD FLEXIVEL PAREDE SIMPLES, CORRUGACAO HELICOIDAL, CORPRETA, SEM ROSCA, DE 3/4", PARA CABEAMENTO SUBTERRANEO (NBR 15715)</t>
  </si>
  <si>
    <t>COT. 010</t>
  </si>
  <si>
    <t>Eletroduto  PEAD Flexível Parede Simples, Corrugação Helicoidal, Cor Preto, Sem Rosca, de 3/4"</t>
  </si>
  <si>
    <t>COT. 011</t>
  </si>
  <si>
    <t>Eletroduto  PEAD Flexível Parede Simples, Corrugação Helicoidal, Cor Preto, Sem Rosca, de 1"</t>
  </si>
  <si>
    <t>https://www.extra.com.br/duto-corrugado-tubo-eletroduto-pead-3-4-50-metros-1543661546/p/1543661546?utm_medium=cpc&amp;utm_source=google_freelisting&amp;IdSku=1543661546&amp;idLojista=100000&amp;tipoLojista=3P</t>
  </si>
  <si>
    <t>https://www.americanas.com.br/produto/5467515201?opn=YSMESP&amp;offerId=62e7ce28adbc5f39b9e92839&amp;srsltid=AR5OiO1d_7DSBzI5W_oZcqXdMwIWkQI5-fjzI26BQvpFVCRUGThutQWsrbY#info-section</t>
  </si>
  <si>
    <t>https://www.teky.com.br/5163/duto-corrugado-kanaduto-pead-anelar-com-arame-sfita-34%22-cinza-c50m-kanaflex</t>
  </si>
  <si>
    <t>https://www.dimensional.com.br/duto-corrug-pead-pt-1-dn32mm-100m-12305-kanaflex/p?idsku=1186591&amp;gclid=Cj0KCQjwhsmaBhCvARIsAIbEbH7o2Z2cKif6qHcHX02K4MIgQD9y7ciBqizIsYQkI6L-cimAMPfPr6AaAqyjEALw_wcB</t>
  </si>
  <si>
    <t>https://www.zigferramentas.com.br/qrqb9fljc-duto-corrugado-preto-34-peveduto-rl-50mt?utm_source=Site&amp;utm_medium=GoogleMerchant&amp;utm_campaign=GoogleMerchant&amp;gclid=Cj0KCQjwhsmaBhCvARIsAIbEbH5F5qDtYsi-9V6lPdl-PVQcTQOrXtFpdQkTaewupVPZotbOoKmQBIUaAv05EALw_wcB</t>
  </si>
  <si>
    <t>https://www.teky.com.br/5164/duto-corrugado-kanaduto-pead-anelar-com-arame-sfita-kanaflex</t>
  </si>
  <si>
    <t>ELETRODUTO FLEXÍVEL CORRUGADO REFORÇADO, PVC, DN 32 MM (1"), PARA CIRCUITOS TERMINAIS, INSTALADO EM LAJE - FORNECIMENTO E INSTALAÇÃO. AF_12/2015</t>
  </si>
  <si>
    <t>ELETRODUTO FLEXÍVEL CORRUGADO, PEAD, DN 32 (1"), PARA REDE ENTERRADA DE DISTRIBUIÇÃO DE ENERGIA ELÉTRICA - FORNECIMENTO E INSTALAÇÃO. AF_12/2021</t>
  </si>
  <si>
    <t>ELETRODUTO FLEXÍVEL CORRUGADO, PEAD, DN 25 (3/4"), PARA REDE ENTERRADA DE DISTRIBUIÇÃO DE ENERGIA ELÉTRICA - FORNECIMENTO E INSTALAÇÃO. AF_12/2021</t>
  </si>
  <si>
    <t>CONDULETE DE PVC, TIPO X, PARA ELETRODUTO DE PVC SOLDÁVEL DN 25 MM (3/4''), APARENTE - FORNECIMENTO E INSTALAÇÃO. AF_11/2016</t>
  </si>
  <si>
    <t>ELETRODUTO RÍGIDO SOLDÁVEL, PVC, DN 32 MM (1"), APARENTE, INSTALADO EM PAREDE - FORNECIMENTO E INSTALAÇÃO. AF_11/2016</t>
  </si>
  <si>
    <t>ELETRODUTO RÍGIDO SOLDÁVEL, PVC, DN 25 MM (3/4"), APARENTE, INSTALADO EM PAREDE - FORNECIMENTO E INSTALAÇÃO. AF_11/2016</t>
  </si>
  <si>
    <t>FIXAÇÃO DE TUBOS VERTICAIS DE PPR DIÂMETROS MAIORES QUE 40 MM E MENORES OU IGUAIS A 75 MM COM ABRAÇADEIRA METÁLICA RÍGIDA TIPO D 1 1/2", FIXADA EM PERFILADO EM ALVENARIA. AF_05/2015</t>
  </si>
  <si>
    <t>CAIXA ENTERRADA ELÉTRICA RETANGULAR, EM CONCRETO PRÉ-MOLDADO, FUNDO COM BRITA, DIMENSÕES INTERNAS: 0,3X0,3X0,3 M. AF_12/2020</t>
  </si>
  <si>
    <t>HASTE DE ATERRAMENTO EM ACO COM 3,00 M DE COMPRIMENTO E DN = 5/8", REVESTIDA COM BAIXA CAMADA DE COBRE, COM CONECTOR TIPO GRAMPO</t>
  </si>
  <si>
    <t>HASTE DE ATERRAMENTO 5/8  PARA SPDA - FORNECIMENTO E INSTALAÇÃO</t>
  </si>
  <si>
    <t>COMP.014</t>
  </si>
  <si>
    <t>LUMINÁRIA ARANDELA TIPO TARTARUGA, DE SOBREPOR, COM 1 LÂMPADA LED DE 6W, SEM REATOR - FORNECIMENTO E INSTALAÇÃO. AF_02/2020</t>
  </si>
  <si>
    <t>LUVA PARA ELETRODUTO, PVC SOLDÁVEL, DN 25MM (3/4"), APARENTE, INSTALADO EM PAREDE - FORNECIMENTO E INSTALAÇÃO</t>
  </si>
  <si>
    <t>LUVA EM PVC RIGIDO ROSCAVEL, DE 3/4", PARA ELETRODUTO</t>
  </si>
  <si>
    <t>ADESIVO PLASTICO PARA PVC, FRASCO COM 175 GR</t>
  </si>
  <si>
    <t>LUVA EM PVC RIGIDO ROSCAVEL, DE 1", PARA ELETRODUTO</t>
  </si>
  <si>
    <t>LUVA PARA ELETRODUTO, PVC SOLDÁVEL, DN 32MM (1"), APARENTE, INSTALADO EM PAREDE - FORNECIMENTO E INSTALAÇÃO</t>
  </si>
  <si>
    <t>CURVA 90 GRAUS PARA ELETRODUTO, PVC, SOLDÁVEL, DN 25 MM (3/4''), APARENTE, INSTALADA EM PAREDE - FORNECIMENTO E INSTALAÇÃO. AF_11/2016</t>
  </si>
  <si>
    <t>CURVA 90 GRAUS, CURTA, DE PVC RIGIDO ROSCAVEL, DE 3/4", PARA ELETRODUTO</t>
  </si>
  <si>
    <t>CABO DE COBRE FLEXÍVEL ISOLADO, 1,5 MM², ANTI-CHAMA 450/750 V, PARA CIRCUITOS TERMINAIS - FORNECIMENTO E INSTALAÇÃO. AF_12/2015</t>
  </si>
  <si>
    <t>CABO FLEXIVEL PVC 750 V, 2 CONDUTORES DE 1,5 MM2</t>
  </si>
  <si>
    <t>LUVA PARA ELETRODUTO, EM ACO GALVANIZADO ELETROLITICO, DIAMETRO DE 32 MM (1 1/4")</t>
  </si>
  <si>
    <t>COT. 012</t>
  </si>
  <si>
    <t>TERMINAL A COMPRESSAO EM COBRE ESTANHADO PARA CABO 25 MM2, 1 FURO E 1 COMPRESSAO, PARA PARAFUSO DE FIXACAO M8</t>
  </si>
  <si>
    <t>Disjuntor DPS CLASSE 1 + 2 - 4 POLOS</t>
  </si>
  <si>
    <t>COT. 013</t>
  </si>
  <si>
    <t>https://www.magazineluiza.com.br/rack-servidor-padrao-19-pol-16u-x-570mm-acr-solda-parede-max-eletron/p/ck903cffe9/in/svdr/?&amp;seller_id=hdstoreoficial</t>
  </si>
  <si>
    <t>https://www.dhcp.com.br/rack-de-parede-19-maxmetal-4042-16u-570mm.html</t>
  </si>
  <si>
    <t>https://www.submarino.com.br/produto/6000507784?opn=XMLGOOGLE&amp;offerId=63325734987bd9d450ad1ec1&amp;cor=Preto&amp;condition=NEW</t>
  </si>
  <si>
    <t>COT 001</t>
  </si>
  <si>
    <t>https://www.kabum.com.br/produto/72257/filtro-de-linha-force-line-regua-extensora-12-tomadas-10a-0091000001?gclid=EAIaIQobChMI2MHKlbn--gIVYxpMCh3NMQ6UEAQYASABEgIzPPD_BwE</t>
  </si>
  <si>
    <t>https://produto.mercadolivre.com.br/MLB-1141572312-filtro-de-linha-12-tomadas-preto-force-line-_JM?matt_tool=45029758&amp;matt_word=&amp;matt_source=google&amp;matt_campaign_id=14302215522&amp;matt_ad_group_id=134553699828&amp;matt_match_type=&amp;matt_network=g&amp;matt_device=c&amp;matt_creative=539425477825&amp;matt_keyword=&amp;matt_ad_position=&amp;matt_ad_type=pla&amp;matt_merchant_id=290487872&amp;matt_product_id=MLB1141572312&amp;matt_product_partition_id=1405369424543&amp;matt_target_id=pla-1405369424543&amp;gclid=EAIaIQobChMI2MHKlbn--gIVYxpMCh3NMQ6UEAQYAiABEgIk8PD_BwE</t>
  </si>
  <si>
    <t>COT 002</t>
  </si>
  <si>
    <t>COT 003</t>
  </si>
  <si>
    <t>CABO DE COBRE FLEXÍVEL ISOLADO, 16 MM², ANTI-CHAMA 0,6/1,0 KV, PARA DISTRIBUIÇÃO - FORNECIMENTO E INSTALAÇÃO. AF_12/2015</t>
  </si>
  <si>
    <t>CABO DE COBRE FLEXÍVEL ISOLADO, 35 MM², ANTI-CHAMA 0,6/1,0 KV, PARA REDE ENTERRADA DE DISTRIBUIÇÃO DE ENERGIA ELÉTRICA - FORNECIMENTO E INSTALAÇÃO. AF_12/2021</t>
  </si>
  <si>
    <t>TERMINAL A COMPRESSAO EM COBRE ESTANHADO PARA CABO 35 MM2, 1 FURO E 1 COMPRESSAO, PARA PARAFUSO DE FIXACAO M8</t>
  </si>
  <si>
    <t>QUADRO DE DISTRIBUICAO COM BARRAMENTO TRIFASICO, DE SOBREPOR, EM CHAPA DE ACO GALVANIZADO, PARA 30 DISJUNTORES DIN, 100 A *</t>
  </si>
  <si>
    <t>* Adotado para fins de orçamento estimativo o quadro trifásico por não existir na SINAPI o quadro bifásico.</t>
  </si>
  <si>
    <t>QUADRO DE DISTRIBUIÇÃO DE ENERGIA EM CHAPA DE AÇO GALVANIZADO, DE SOBREPOR, COM BARRAMENTO BIFÁSICO, PARA 30 DISJUNTORES DIN 100A - FORNECIMENTO E INSTALAÇÃO</t>
  </si>
  <si>
    <t>MÃO FRANCESA PERFILADO 200MM</t>
  </si>
  <si>
    <t xml:space="preserve">CURVA HORIZONTAL 90° PARA ELETROCALHA EM CHAPA DE AÇO GALVANIZADO 150X50MM, ESPESSURA #20 </t>
  </si>
  <si>
    <t>TALA PARA EMENDA DE ELETROCALHA LISA OU PERFURADA</t>
  </si>
  <si>
    <t>Tabela SINAPI com desoneração de setembro/2022</t>
  </si>
  <si>
    <t>TAMPA CURVA HORIZONTAL 150MM</t>
  </si>
  <si>
    <t>COT.</t>
  </si>
  <si>
    <t>CURVA HORIZONTAL 90º, PARA ELETROCALHA, COM TAMPA, LISA OU PERFURADA EM AÇO GALVANIZADO, LARGURA DE 150MM E ALTURA DE 50MM - FORNECIMENTO E INSTALAÇÃO</t>
  </si>
  <si>
    <t>PARAFUSO CABEÇA LENTILHA ¼” X ¾”</t>
  </si>
  <si>
    <t xml:space="preserve">ARRUELA SIMPLES ¼” </t>
  </si>
  <si>
    <t>ELETROCALHA LISA OU PERFURADA EM AÇO GALVANIZADO, LARGURA 150MM E ALTURA 50MM, INCLUSIVE EMENDA, TAMPA, SEPTO E SUPORTE FIXAÇÃO - FORNECIMENTO E INSTALAÇÃO</t>
  </si>
  <si>
    <t>1.2</t>
  </si>
  <si>
    <t>7.6</t>
  </si>
  <si>
    <t>8.2</t>
  </si>
  <si>
    <t>8.3</t>
  </si>
  <si>
    <t>8.4</t>
  </si>
  <si>
    <t>8.5</t>
  </si>
  <si>
    <t>10.1</t>
  </si>
  <si>
    <t>10.2</t>
  </si>
  <si>
    <t>10.3</t>
  </si>
  <si>
    <t>COT. 014</t>
  </si>
  <si>
    <t>Instalação de ar-condicionado (De acordo com projeto)</t>
  </si>
  <si>
    <t>Pesquisa de Mercado</t>
  </si>
  <si>
    <t>Arseg (Orç. 001)</t>
  </si>
  <si>
    <t>Persi's (Orç. 002)</t>
  </si>
  <si>
    <t>COMP.001</t>
  </si>
  <si>
    <t>COMP.002</t>
  </si>
  <si>
    <t>COMP 006</t>
  </si>
  <si>
    <t>COMP.010</t>
  </si>
  <si>
    <t>COMP.011</t>
  </si>
  <si>
    <t>COMP.012</t>
  </si>
  <si>
    <t>COMP 013</t>
  </si>
  <si>
    <t>COMP.015</t>
  </si>
  <si>
    <t>COMP.016</t>
  </si>
  <si>
    <t>COMP.019</t>
  </si>
  <si>
    <t>COMP.020</t>
  </si>
  <si>
    <t>COMP.021</t>
  </si>
  <si>
    <t>COMP.006</t>
  </si>
  <si>
    <t>COMP.007</t>
  </si>
  <si>
    <t>COMP.008</t>
  </si>
  <si>
    <t>COMP.009</t>
  </si>
  <si>
    <t>COMP.013</t>
  </si>
  <si>
    <t>REVESTIMENTO CERÂMICO PARA PAREDES INTERNAS COM PLACAS TIPO ESMALTADA EXTRA DE DIMENSÕES 33X45 CM APLICADAS EM AMBIENTES DE ÁREA MAIOR QUE 5M² NA ALTURA INTEIRA DAS PAREDES. AF_06/2014</t>
  </si>
  <si>
    <t>4.3.16</t>
  </si>
  <si>
    <t>PATCH CORD (CABO DE REDE), CATEGORIA 6 (CAT 6) UTP, 23 AWG, 4 PARES, EXTENSAO DE 1,50 M</t>
  </si>
  <si>
    <t>INTERRUPTOR SIMPLES (3 MÓDULOS), 10A/250V, INCLUINDO SUPORTE E PLACA -FORNECIMENTO E INSTALAÇÃO. AF_12/2015</t>
  </si>
  <si>
    <t>CONDULETE DE ALUMÍNIO, TIPO X, PARA ELETRODUTO DE AÇO GALVANIZADO DN 50 MM (1 1/2''), APARENTE - FORNECIMENTO E INSTALAÇÃO</t>
  </si>
  <si>
    <t>CONDULETE DE ALUMINIO TIPO X, PARA ELETRODUTO ROSCAVEL DE 1 1/2", COM TAMPA CEGA</t>
  </si>
  <si>
    <t>Eletroduto de aço galvanizado, classe pesada 1.1/2"</t>
  </si>
  <si>
    <t>https://www.eletricaarea.com.br/infraestrutura/eletroduto-galvanizado/eletroduto-galvanizado-a-fogo-1-12-pesado?parceiro=1263&amp;gclid=EAIaIQobChMIh9TMvNqD-wIVnUVIAB1dfgsLEAQYBSABEgJTivD_BwE</t>
  </si>
  <si>
    <t>https://www.eletrotrafo.com.br/eletroduto-de-ferro-galv-fogo-pesado-3-4--x-3mts-225mm-nbr-5598-70008571/p?idsku=5513&amp;https://www.eletrotrafo.com.br/?utm_source=google&amp;utm_medium=Shopping_inteligente&amp;gclid=EAIaIQobChMIh9TMvNqD-wIVnUVIAB1dfgsLEAQYByABEgKRv_D_BwE</t>
  </si>
  <si>
    <t>https://melhorindustria.com.br/eletroduto-galv-fg-pesado-1.1/2-2-25mm-bsp-gfc-elegvf0555-mf-60339?gclid=EAIaIQobChMI9_2B19uD-wIVvE9IAB3NgQp1EAQYAyABEgKsYfD_BwE</t>
  </si>
  <si>
    <t>ELETRODUTO EM ACO GALVANIZADO ELETROLITICO,PESADO, DIAMETRO 1 1/2"</t>
  </si>
  <si>
    <t>ELETRODUTO DE AÇO GALVANIZADO, PESADO, DN 50 MM (1 1/2’’), APARENTE, INSTALADO EM PAREDE - FORNECIMENTO E INSTALAÇÃO</t>
  </si>
  <si>
    <t>COMP 024</t>
  </si>
  <si>
    <t>COMP 023</t>
  </si>
  <si>
    <t>COMP 022</t>
  </si>
  <si>
    <t>COMP.24</t>
  </si>
  <si>
    <t>COMP.23</t>
  </si>
  <si>
    <t>COMP.22</t>
  </si>
  <si>
    <t>COMP.21</t>
  </si>
  <si>
    <t>COMP.20</t>
  </si>
  <si>
    <t>COMP.19</t>
  </si>
  <si>
    <t>COMP.18</t>
  </si>
  <si>
    <t>COMP.17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</si>
</sst>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&quot;R$&quot;* #,##0.00_);_(&quot;R$&quot;* \(#,##0.00\);_(&quot;R$&quot;* &quot;-&quot;??_);_(@_)"/>
    <numFmt numFmtId="166" formatCode="00"/>
    <numFmt numFmtId="167" formatCode="0.0%"/>
    <numFmt numFmtId="168" formatCode="0.000000"/>
  </numFmts>
  <fonts count="4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color indexed="81"/>
      <name val="Tahoma"/>
      <family val="2"/>
    </font>
    <font>
      <sz val="11"/>
      <color indexed="8"/>
      <name val="Calibri"/>
      <family val="2"/>
    </font>
    <font>
      <b/>
      <sz val="10"/>
      <color indexed="8"/>
      <name val="Calibri"/>
      <family val="2"/>
    </font>
    <font>
      <b/>
      <sz val="11"/>
      <color indexed="8"/>
      <name val="Calibri"/>
      <family val="2"/>
    </font>
    <font>
      <b/>
      <sz val="14"/>
      <name val="Arial"/>
      <family val="2"/>
    </font>
    <font>
      <sz val="10"/>
      <name val="Courier New"/>
      <family val="3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ourier New"/>
      <family val="3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8"/>
      <name val="Calibri"/>
      <family val="2"/>
      <scheme val="minor"/>
    </font>
    <font>
      <b/>
      <sz val="10"/>
      <color rgb="FF00000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9C6500"/>
      <name val="Calibri"/>
      <family val="2"/>
      <scheme val="minor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name val="Calibri"/>
      <family val="2"/>
      <scheme val="minor"/>
    </font>
  </fonts>
  <fills count="6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42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lightUp"/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8" fillId="0" borderId="0"/>
    <xf numFmtId="0" fontId="13" fillId="0" borderId="0" applyNumberFormat="0" applyFill="0" applyBorder="0" applyAlignment="0" applyProtection="0"/>
    <xf numFmtId="16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22" fillId="0" borderId="52" applyNumberFormat="0" applyFill="0" applyAlignment="0" applyProtection="0"/>
    <xf numFmtId="0" fontId="23" fillId="0" borderId="53" applyNumberFormat="0" applyFill="0" applyAlignment="0" applyProtection="0"/>
    <xf numFmtId="0" fontId="24" fillId="0" borderId="54" applyNumberFormat="0" applyFill="0" applyAlignment="0" applyProtection="0"/>
    <xf numFmtId="0" fontId="24" fillId="0" borderId="0" applyNumberFormat="0" applyFill="0" applyBorder="0" applyAlignment="0" applyProtection="0"/>
    <xf numFmtId="0" fontId="25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6" borderId="55" applyNumberFormat="0" applyAlignment="0" applyProtection="0"/>
    <xf numFmtId="0" fontId="28" fillId="17" borderId="56" applyNumberFormat="0" applyAlignment="0" applyProtection="0"/>
    <xf numFmtId="0" fontId="29" fillId="17" borderId="55" applyNumberFormat="0" applyAlignment="0" applyProtection="0"/>
    <xf numFmtId="0" fontId="30" fillId="0" borderId="57" applyNumberFormat="0" applyFill="0" applyAlignment="0" applyProtection="0"/>
    <xf numFmtId="0" fontId="31" fillId="18" borderId="58" applyNumberFormat="0" applyAlignment="0" applyProtection="0"/>
    <xf numFmtId="0" fontId="32" fillId="0" borderId="0" applyNumberFormat="0" applyFill="0" applyBorder="0" applyAlignment="0" applyProtection="0"/>
    <xf numFmtId="0" fontId="14" fillId="19" borderId="59" applyNumberFormat="0" applyFont="0" applyAlignment="0" applyProtection="0"/>
    <xf numFmtId="0" fontId="33" fillId="0" borderId="0" applyNumberFormat="0" applyFill="0" applyBorder="0" applyAlignment="0" applyProtection="0"/>
    <xf numFmtId="0" fontId="15" fillId="0" borderId="60" applyNumberFormat="0" applyFill="0" applyAlignment="0" applyProtection="0"/>
    <xf numFmtId="0" fontId="3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34" fillId="24" borderId="0" applyNumberFormat="0" applyBorder="0" applyAlignment="0" applyProtection="0"/>
    <xf numFmtId="0" fontId="14" fillId="25" borderId="0" applyNumberFormat="0" applyBorder="0" applyAlignment="0" applyProtection="0"/>
    <xf numFmtId="0" fontId="14" fillId="26" borderId="0" applyNumberFormat="0" applyBorder="0" applyAlignment="0" applyProtection="0"/>
    <xf numFmtId="0" fontId="34" fillId="28" borderId="0" applyNumberFormat="0" applyBorder="0" applyAlignment="0" applyProtection="0"/>
    <xf numFmtId="0" fontId="14" fillId="29" borderId="0" applyNumberFormat="0" applyBorder="0" applyAlignment="0" applyProtection="0"/>
    <xf numFmtId="0" fontId="14" fillId="30" borderId="0" applyNumberFormat="0" applyBorder="0" applyAlignment="0" applyProtection="0"/>
    <xf numFmtId="0" fontId="3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3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34" fillId="40" borderId="0" applyNumberFormat="0" applyBorder="0" applyAlignment="0" applyProtection="0"/>
    <xf numFmtId="0" fontId="14" fillId="41" borderId="0" applyNumberFormat="0" applyBorder="0" applyAlignment="0" applyProtection="0"/>
    <xf numFmtId="0" fontId="14" fillId="42" borderId="0" applyNumberFormat="0" applyBorder="0" applyAlignment="0" applyProtection="0"/>
    <xf numFmtId="0" fontId="35" fillId="0" borderId="0" applyNumberFormat="0" applyFill="0" applyBorder="0" applyAlignment="0" applyProtection="0"/>
    <xf numFmtId="0" fontId="36" fillId="15" borderId="0" applyNumberFormat="0" applyBorder="0" applyAlignment="0" applyProtection="0"/>
    <xf numFmtId="0" fontId="34" fillId="23" borderId="0" applyNumberFormat="0" applyBorder="0" applyAlignment="0" applyProtection="0"/>
    <xf numFmtId="0" fontId="34" fillId="27" borderId="0" applyNumberFormat="0" applyBorder="0" applyAlignment="0" applyProtection="0"/>
    <xf numFmtId="0" fontId="34" fillId="31" borderId="0" applyNumberFormat="0" applyBorder="0" applyAlignment="0" applyProtection="0"/>
    <xf numFmtId="0" fontId="34" fillId="35" borderId="0" applyNumberFormat="0" applyBorder="0" applyAlignment="0" applyProtection="0"/>
    <xf numFmtId="0" fontId="34" fillId="39" borderId="0" applyNumberFormat="0" applyBorder="0" applyAlignment="0" applyProtection="0"/>
    <xf numFmtId="0" fontId="34" fillId="43" borderId="0" applyNumberFormat="0" applyBorder="0" applyAlignment="0" applyProtection="0"/>
    <xf numFmtId="43" fontId="14" fillId="0" borderId="0" applyFont="0" applyFill="0" applyBorder="0" applyAlignment="0" applyProtection="0"/>
  </cellStyleXfs>
  <cellXfs count="551">
    <xf numFmtId="0" fontId="0" fillId="0" borderId="0" xfId="0"/>
    <xf numFmtId="0" fontId="1" fillId="2" borderId="0" xfId="1" applyFill="1"/>
    <xf numFmtId="0" fontId="1" fillId="2" borderId="0" xfId="1" applyFill="1" applyAlignment="1">
      <alignment horizontal="center"/>
    </xf>
    <xf numFmtId="0" fontId="2" fillId="3" borderId="0" xfId="0" applyFont="1" applyFill="1" applyAlignment="1" applyProtection="1">
      <alignment horizontal="left"/>
      <protection locked="0"/>
    </xf>
    <xf numFmtId="0" fontId="3" fillId="3" borderId="0" xfId="0" applyFont="1" applyFill="1" applyAlignment="1" applyProtection="1">
      <alignment horizontal="right"/>
      <protection locked="0"/>
    </xf>
    <xf numFmtId="0" fontId="3" fillId="3" borderId="0" xfId="0" applyFont="1" applyFill="1" applyAlignment="1">
      <alignment horizontal="left"/>
    </xf>
    <xf numFmtId="0" fontId="4" fillId="2" borderId="0" xfId="1" applyFont="1" applyFill="1"/>
    <xf numFmtId="165" fontId="1" fillId="5" borderId="4" xfId="2" applyFont="1" applyFill="1" applyBorder="1" applyAlignment="1">
      <alignment horizontal="center"/>
    </xf>
    <xf numFmtId="0" fontId="1" fillId="0" borderId="0" xfId="1"/>
    <xf numFmtId="0" fontId="1" fillId="0" borderId="0" xfId="1" applyAlignment="1">
      <alignment vertical="center"/>
    </xf>
    <xf numFmtId="0" fontId="1" fillId="0" borderId="4" xfId="1" applyBorder="1" applyAlignment="1">
      <alignment horizontal="center" vertical="center"/>
    </xf>
    <xf numFmtId="0" fontId="1" fillId="0" borderId="4" xfId="1" applyBorder="1" applyAlignment="1">
      <alignment horizontal="center"/>
    </xf>
    <xf numFmtId="0" fontId="1" fillId="4" borderId="4" xfId="1" applyFill="1" applyBorder="1"/>
    <xf numFmtId="165" fontId="1" fillId="4" borderId="4" xfId="1" applyNumberFormat="1" applyFill="1" applyBorder="1" applyAlignment="1">
      <alignment horizontal="center"/>
    </xf>
    <xf numFmtId="10" fontId="1" fillId="6" borderId="4" xfId="1" applyNumberFormat="1" applyFill="1" applyBorder="1" applyAlignment="1">
      <alignment horizontal="center"/>
    </xf>
    <xf numFmtId="10" fontId="1" fillId="0" borderId="4" xfId="3" applyNumberFormat="1" applyFont="1" applyBorder="1" applyAlignment="1">
      <alignment horizontal="center"/>
    </xf>
    <xf numFmtId="10" fontId="1" fillId="6" borderId="4" xfId="3" applyNumberFormat="1" applyFont="1" applyFill="1" applyBorder="1" applyAlignment="1">
      <alignment horizontal="center"/>
    </xf>
    <xf numFmtId="0" fontId="1" fillId="4" borderId="4" xfId="1" applyFill="1" applyBorder="1" applyAlignment="1">
      <alignment horizontal="left"/>
    </xf>
    <xf numFmtId="165" fontId="1" fillId="4" borderId="4" xfId="2" applyFont="1" applyFill="1" applyBorder="1" applyAlignment="1">
      <alignment horizontal="center"/>
    </xf>
    <xf numFmtId="10" fontId="1" fillId="4" borderId="4" xfId="3" applyNumberFormat="1" applyFont="1" applyFill="1" applyBorder="1" applyAlignment="1">
      <alignment horizontal="center"/>
    </xf>
    <xf numFmtId="0" fontId="1" fillId="2" borderId="7" xfId="1" applyFill="1" applyBorder="1" applyAlignment="1">
      <alignment horizontal="center"/>
    </xf>
    <xf numFmtId="10" fontId="1" fillId="2" borderId="0" xfId="1" applyNumberFormat="1" applyFill="1"/>
    <xf numFmtId="10" fontId="1" fillId="2" borderId="8" xfId="1" applyNumberFormat="1" applyFill="1" applyBorder="1"/>
    <xf numFmtId="0" fontId="1" fillId="0" borderId="4" xfId="1" applyBorder="1" applyAlignment="1">
      <alignment horizontal="left" indent="5"/>
    </xf>
    <xf numFmtId="0" fontId="1" fillId="2" borderId="8" xfId="1" applyFill="1" applyBorder="1"/>
    <xf numFmtId="10" fontId="1" fillId="6" borderId="5" xfId="3" applyNumberFormat="1" applyFont="1" applyFill="1" applyBorder="1" applyAlignment="1">
      <alignment horizontal="center"/>
    </xf>
    <xf numFmtId="165" fontId="1" fillId="0" borderId="4" xfId="1" applyNumberFormat="1" applyBorder="1" applyAlignment="1">
      <alignment horizontal="center"/>
    </xf>
    <xf numFmtId="0" fontId="1" fillId="0" borderId="4" xfId="1" applyBorder="1"/>
    <xf numFmtId="10" fontId="1" fillId="6" borderId="4" xfId="3" applyNumberFormat="1" applyFont="1" applyFill="1" applyBorder="1"/>
    <xf numFmtId="10" fontId="1" fillId="5" borderId="4" xfId="3" applyNumberFormat="1" applyFont="1" applyFill="1" applyBorder="1" applyAlignment="1">
      <alignment horizontal="center"/>
    </xf>
    <xf numFmtId="0" fontId="1" fillId="2" borderId="10" xfId="1" applyFill="1" applyBorder="1"/>
    <xf numFmtId="0" fontId="1" fillId="2" borderId="11" xfId="1" applyFill="1" applyBorder="1"/>
    <xf numFmtId="0" fontId="1" fillId="2" borderId="9" xfId="1" applyFill="1" applyBorder="1"/>
    <xf numFmtId="0" fontId="1" fillId="2" borderId="7" xfId="1" applyFill="1" applyBorder="1"/>
    <xf numFmtId="0" fontId="1" fillId="2" borderId="12" xfId="1" applyFill="1" applyBorder="1"/>
    <xf numFmtId="0" fontId="1" fillId="2" borderId="13" xfId="1" applyFill="1" applyBorder="1"/>
    <xf numFmtId="0" fontId="1" fillId="2" borderId="14" xfId="1" applyFill="1" applyBorder="1"/>
    <xf numFmtId="0" fontId="1" fillId="2" borderId="13" xfId="4" applyFill="1" applyBorder="1"/>
    <xf numFmtId="0" fontId="1" fillId="5" borderId="0" xfId="1" applyFill="1"/>
    <xf numFmtId="0" fontId="1" fillId="5" borderId="0" xfId="1" applyFill="1" applyAlignment="1">
      <alignment horizontal="center"/>
    </xf>
    <xf numFmtId="0" fontId="1" fillId="0" borderId="0" xfId="1" applyAlignment="1">
      <alignment horizontal="center"/>
    </xf>
    <xf numFmtId="2" fontId="6" fillId="0" borderId="0" xfId="5" applyNumberFormat="1" applyFont="1" applyAlignment="1">
      <alignment horizontal="center" vertical="center" wrapText="1"/>
    </xf>
    <xf numFmtId="0" fontId="6" fillId="7" borderId="0" xfId="5" applyFont="1" applyFill="1" applyAlignment="1">
      <alignment horizontal="center" vertical="center" wrapText="1"/>
    </xf>
    <xf numFmtId="0" fontId="6" fillId="0" borderId="0" xfId="5" applyFont="1" applyAlignment="1">
      <alignment horizontal="center" vertical="center" wrapText="1"/>
    </xf>
    <xf numFmtId="2" fontId="6" fillId="7" borderId="0" xfId="5" applyNumberFormat="1" applyFont="1" applyFill="1" applyAlignment="1">
      <alignment horizontal="center" vertical="center" wrapText="1"/>
    </xf>
    <xf numFmtId="0" fontId="6" fillId="2" borderId="0" xfId="5" applyFont="1" applyFill="1" applyAlignment="1">
      <alignment horizontal="center" vertical="center" wrapText="1"/>
    </xf>
    <xf numFmtId="2" fontId="6" fillId="2" borderId="8" xfId="5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justify"/>
    </xf>
    <xf numFmtId="2" fontId="0" fillId="0" borderId="0" xfId="0" applyNumberFormat="1"/>
    <xf numFmtId="0" fontId="10" fillId="0" borderId="0" xfId="0" applyFont="1"/>
    <xf numFmtId="2" fontId="10" fillId="0" borderId="0" xfId="0" applyNumberFormat="1" applyFon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164" fontId="0" fillId="0" borderId="0" xfId="7" applyFont="1" applyBorder="1" applyAlignment="1">
      <alignment wrapText="1"/>
    </xf>
    <xf numFmtId="0" fontId="15" fillId="0" borderId="0" xfId="0" applyFont="1"/>
    <xf numFmtId="0" fontId="0" fillId="0" borderId="0" xfId="0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3" fillId="0" borderId="0" xfId="6" applyFill="1"/>
    <xf numFmtId="0" fontId="16" fillId="5" borderId="0" xfId="0" applyFont="1" applyFill="1" applyAlignment="1">
      <alignment horizontal="left" vertical="top"/>
    </xf>
    <xf numFmtId="0" fontId="17" fillId="0" borderId="0" xfId="0" applyFont="1" applyAlignment="1">
      <alignment horizontal="center"/>
    </xf>
    <xf numFmtId="0" fontId="18" fillId="0" borderId="0" xfId="0" applyFont="1"/>
    <xf numFmtId="0" fontId="18" fillId="0" borderId="0" xfId="0" applyFont="1" applyAlignment="1">
      <alignment wrapText="1"/>
    </xf>
    <xf numFmtId="164" fontId="18" fillId="0" borderId="0" xfId="7" applyFont="1" applyBorder="1" applyAlignment="1">
      <alignment wrapText="1"/>
    </xf>
    <xf numFmtId="0" fontId="18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/>
    <xf numFmtId="10" fontId="18" fillId="0" borderId="0" xfId="8" applyNumberFormat="1" applyFont="1" applyBorder="1" applyAlignment="1">
      <alignment wrapText="1"/>
    </xf>
    <xf numFmtId="166" fontId="18" fillId="0" borderId="0" xfId="7" applyNumberFormat="1" applyFont="1" applyBorder="1" applyAlignment="1">
      <alignment wrapText="1"/>
    </xf>
    <xf numFmtId="14" fontId="18" fillId="9" borderId="0" xfId="7" applyNumberFormat="1" applyFont="1" applyFill="1" applyBorder="1" applyAlignment="1">
      <alignment wrapText="1"/>
    </xf>
    <xf numFmtId="17" fontId="18" fillId="0" borderId="0" xfId="7" applyNumberFormat="1" applyFont="1" applyBorder="1" applyAlignment="1">
      <alignment wrapText="1"/>
    </xf>
    <xf numFmtId="0" fontId="18" fillId="0" borderId="0" xfId="0" applyFont="1" applyAlignment="1">
      <alignment horizontal="center"/>
    </xf>
    <xf numFmtId="0" fontId="0" fillId="5" borderId="0" xfId="0" applyFill="1"/>
    <xf numFmtId="0" fontId="15" fillId="5" borderId="0" xfId="0" applyFont="1" applyFill="1"/>
    <xf numFmtId="0" fontId="17" fillId="5" borderId="30" xfId="0" applyFont="1" applyFill="1" applyBorder="1" applyAlignment="1">
      <alignment horizontal="center" vertical="center" wrapText="1"/>
    </xf>
    <xf numFmtId="0" fontId="17" fillId="10" borderId="16" xfId="0" applyFont="1" applyFill="1" applyBorder="1" applyAlignment="1">
      <alignment horizontal="center" vertical="center" wrapText="1"/>
    </xf>
    <xf numFmtId="0" fontId="17" fillId="10" borderId="31" xfId="0" applyFont="1" applyFill="1" applyBorder="1" applyAlignment="1">
      <alignment horizontal="center" vertical="center" wrapText="1"/>
    </xf>
    <xf numFmtId="0" fontId="17" fillId="10" borderId="31" xfId="0" applyFont="1" applyFill="1" applyBorder="1" applyAlignment="1">
      <alignment horizontal="center" vertical="center"/>
    </xf>
    <xf numFmtId="0" fontId="17" fillId="5" borderId="30" xfId="0" applyFont="1" applyFill="1" applyBorder="1" applyAlignment="1">
      <alignment horizontal="center" vertical="center"/>
    </xf>
    <xf numFmtId="0" fontId="17" fillId="5" borderId="27" xfId="0" applyFont="1" applyFill="1" applyBorder="1" applyAlignment="1">
      <alignment horizontal="center" vertical="center"/>
    </xf>
    <xf numFmtId="1" fontId="18" fillId="0" borderId="0" xfId="0" applyNumberFormat="1" applyFont="1" applyAlignment="1">
      <alignment horizontal="center"/>
    </xf>
    <xf numFmtId="1" fontId="17" fillId="0" borderId="0" xfId="0" applyNumberFormat="1" applyFont="1" applyAlignment="1">
      <alignment horizontal="center"/>
    </xf>
    <xf numFmtId="0" fontId="0" fillId="5" borderId="0" xfId="0" applyFill="1" applyAlignment="1">
      <alignment horizontal="center" vertical="center"/>
    </xf>
    <xf numFmtId="0" fontId="12" fillId="0" borderId="0" xfId="0" applyFont="1" applyAlignment="1">
      <alignment horizontal="right"/>
    </xf>
    <xf numFmtId="44" fontId="0" fillId="0" borderId="19" xfId="0" applyNumberFormat="1" applyBorder="1" applyAlignment="1">
      <alignment horizontal="center" vertical="center"/>
    </xf>
    <xf numFmtId="0" fontId="1" fillId="5" borderId="18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center" vertical="center"/>
    </xf>
    <xf numFmtId="0" fontId="37" fillId="2" borderId="7" xfId="0" applyFont="1" applyFill="1" applyBorder="1" applyAlignment="1">
      <alignment horizontal="center"/>
    </xf>
    <xf numFmtId="0" fontId="37" fillId="2" borderId="0" xfId="0" applyFont="1" applyFill="1" applyAlignment="1">
      <alignment horizontal="center"/>
    </xf>
    <xf numFmtId="0" fontId="37" fillId="2" borderId="8" xfId="0" applyFont="1" applyFill="1" applyBorder="1" applyAlignment="1">
      <alignment horizontal="center"/>
    </xf>
    <xf numFmtId="0" fontId="38" fillId="5" borderId="7" xfId="0" applyFont="1" applyFill="1" applyBorder="1" applyAlignment="1">
      <alignment horizontal="left"/>
    </xf>
    <xf numFmtId="0" fontId="37" fillId="5" borderId="0" xfId="0" applyFont="1" applyFill="1" applyAlignment="1">
      <alignment horizontal="center"/>
    </xf>
    <xf numFmtId="0" fontId="1" fillId="2" borderId="8" xfId="0" applyFont="1" applyFill="1" applyBorder="1" applyAlignment="1">
      <alignment horizontal="right"/>
    </xf>
    <xf numFmtId="0" fontId="37" fillId="2" borderId="4" xfId="0" applyFont="1" applyFill="1" applyBorder="1" applyAlignment="1">
      <alignment horizontal="center" vertical="center"/>
    </xf>
    <xf numFmtId="0" fontId="37" fillId="2" borderId="4" xfId="0" applyFont="1" applyFill="1" applyBorder="1" applyAlignment="1">
      <alignment horizontal="center" vertical="justify"/>
    </xf>
    <xf numFmtId="0" fontId="18" fillId="11" borderId="46" xfId="0" applyFont="1" applyFill="1" applyBorder="1" applyAlignment="1">
      <alignment horizontal="center" vertical="center"/>
    </xf>
    <xf numFmtId="0" fontId="18" fillId="11" borderId="44" xfId="0" applyFont="1" applyFill="1" applyBorder="1" applyAlignment="1">
      <alignment horizontal="center" vertical="center" wrapText="1"/>
    </xf>
    <xf numFmtId="0" fontId="18" fillId="11" borderId="44" xfId="0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" fillId="0" borderId="21" xfId="0" applyFont="1" applyBorder="1"/>
    <xf numFmtId="0" fontId="1" fillId="0" borderId="24" xfId="0" applyFont="1" applyBorder="1"/>
    <xf numFmtId="49" fontId="38" fillId="7" borderId="7" xfId="5" applyNumberFormat="1" applyFont="1" applyFill="1" applyBorder="1" applyAlignment="1">
      <alignment vertical="center"/>
    </xf>
    <xf numFmtId="0" fontId="38" fillId="2" borderId="0" xfId="5" applyFont="1" applyFill="1" applyAlignment="1">
      <alignment vertical="center"/>
    </xf>
    <xf numFmtId="0" fontId="18" fillId="2" borderId="7" xfId="0" applyFont="1" applyFill="1" applyBorder="1"/>
    <xf numFmtId="0" fontId="18" fillId="2" borderId="0" xfId="0" applyFont="1" applyFill="1"/>
    <xf numFmtId="0" fontId="18" fillId="2" borderId="8" xfId="0" applyFont="1" applyFill="1" applyBorder="1"/>
    <xf numFmtId="0" fontId="18" fillId="2" borderId="4" xfId="0" applyFont="1" applyFill="1" applyBorder="1" applyAlignment="1">
      <alignment horizontal="center" vertical="center"/>
    </xf>
    <xf numFmtId="2" fontId="18" fillId="2" borderId="4" xfId="0" applyNumberFormat="1" applyFont="1" applyFill="1" applyBorder="1" applyAlignment="1">
      <alignment horizontal="center" vertical="center"/>
    </xf>
    <xf numFmtId="2" fontId="37" fillId="2" borderId="4" xfId="0" applyNumberFormat="1" applyFont="1" applyFill="1" applyBorder="1" applyAlignment="1">
      <alignment horizontal="center" vertical="center"/>
    </xf>
    <xf numFmtId="0" fontId="18" fillId="2" borderId="7" xfId="0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0" fontId="18" fillId="2" borderId="8" xfId="0" applyFont="1" applyFill="1" applyBorder="1" applyAlignment="1">
      <alignment vertical="center"/>
    </xf>
    <xf numFmtId="2" fontId="37" fillId="8" borderId="4" xfId="0" applyNumberFormat="1" applyFont="1" applyFill="1" applyBorder="1" applyAlignment="1">
      <alignment horizontal="center" vertical="center"/>
    </xf>
    <xf numFmtId="0" fontId="18" fillId="0" borderId="7" xfId="0" applyFont="1" applyBorder="1"/>
    <xf numFmtId="0" fontId="18" fillId="0" borderId="8" xfId="0" applyFont="1" applyBorder="1"/>
    <xf numFmtId="0" fontId="17" fillId="11" borderId="4" xfId="0" applyFont="1" applyFill="1" applyBorder="1" applyAlignment="1">
      <alignment horizontal="center"/>
    </xf>
    <xf numFmtId="0" fontId="18" fillId="11" borderId="16" xfId="0" applyFont="1" applyFill="1" applyBorder="1" applyAlignment="1">
      <alignment horizontal="center" vertical="center"/>
    </xf>
    <xf numFmtId="0" fontId="18" fillId="11" borderId="31" xfId="0" applyFont="1" applyFill="1" applyBorder="1" applyAlignment="1">
      <alignment horizontal="center" vertical="center"/>
    </xf>
    <xf numFmtId="0" fontId="18" fillId="11" borderId="17" xfId="0" applyFont="1" applyFill="1" applyBorder="1" applyAlignment="1">
      <alignment horizontal="center" vertical="center"/>
    </xf>
    <xf numFmtId="0" fontId="17" fillId="11" borderId="4" xfId="0" applyFont="1" applyFill="1" applyBorder="1" applyAlignment="1">
      <alignment horizontal="center" vertical="center"/>
    </xf>
    <xf numFmtId="2" fontId="18" fillId="11" borderId="31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2" fontId="18" fillId="0" borderId="0" xfId="0" applyNumberFormat="1" applyFont="1" applyAlignment="1">
      <alignment horizontal="center" vertical="center"/>
    </xf>
    <xf numFmtId="0" fontId="18" fillId="0" borderId="36" xfId="0" applyFont="1" applyBorder="1"/>
    <xf numFmtId="0" fontId="18" fillId="0" borderId="34" xfId="0" applyFont="1" applyBorder="1"/>
    <xf numFmtId="0" fontId="18" fillId="0" borderId="35" xfId="0" applyFont="1" applyBorder="1"/>
    <xf numFmtId="0" fontId="18" fillId="0" borderId="66" xfId="0" applyFont="1" applyBorder="1"/>
    <xf numFmtId="0" fontId="18" fillId="0" borderId="20" xfId="0" applyFont="1" applyBorder="1"/>
    <xf numFmtId="0" fontId="18" fillId="0" borderId="21" xfId="0" applyFont="1" applyBorder="1"/>
    <xf numFmtId="0" fontId="18" fillId="0" borderId="22" xfId="0" applyFont="1" applyBorder="1"/>
    <xf numFmtId="0" fontId="18" fillId="0" borderId="39" xfId="0" applyFont="1" applyBorder="1"/>
    <xf numFmtId="0" fontId="1" fillId="0" borderId="20" xfId="0" applyFont="1" applyBorder="1"/>
    <xf numFmtId="0" fontId="1" fillId="0" borderId="23" xfId="0" applyFont="1" applyBorder="1"/>
    <xf numFmtId="0" fontId="18" fillId="0" borderId="23" xfId="0" applyFont="1" applyBorder="1"/>
    <xf numFmtId="0" fontId="18" fillId="0" borderId="24" xfId="0" applyFont="1" applyBorder="1"/>
    <xf numFmtId="0" fontId="18" fillId="0" borderId="25" xfId="0" applyFont="1" applyBorder="1"/>
    <xf numFmtId="0" fontId="18" fillId="0" borderId="67" xfId="0" applyFont="1" applyBorder="1"/>
    <xf numFmtId="0" fontId="18" fillId="11" borderId="4" xfId="0" applyFont="1" applyFill="1" applyBorder="1"/>
    <xf numFmtId="0" fontId="18" fillId="0" borderId="5" xfId="0" applyFont="1" applyBorder="1"/>
    <xf numFmtId="9" fontId="18" fillId="0" borderId="6" xfId="0" applyNumberFormat="1" applyFont="1" applyBorder="1"/>
    <xf numFmtId="0" fontId="17" fillId="47" borderId="0" xfId="0" applyFont="1" applyFill="1" applyAlignment="1">
      <alignment horizontal="center" vertical="center" wrapText="1"/>
    </xf>
    <xf numFmtId="0" fontId="17" fillId="11" borderId="0" xfId="0" applyFont="1" applyFill="1" applyAlignment="1">
      <alignment horizontal="center" vertical="center" wrapText="1"/>
    </xf>
    <xf numFmtId="0" fontId="17" fillId="48" borderId="0" xfId="0" applyFont="1" applyFill="1" applyAlignment="1">
      <alignment horizontal="center" vertical="center" wrapText="1"/>
    </xf>
    <xf numFmtId="0" fontId="17" fillId="49" borderId="0" xfId="0" applyFont="1" applyFill="1" applyAlignment="1">
      <alignment horizontal="center" vertical="center" wrapText="1"/>
    </xf>
    <xf numFmtId="0" fontId="18" fillId="11" borderId="1" xfId="0" applyFont="1" applyFill="1" applyBorder="1" applyAlignment="1">
      <alignment horizontal="center" vertical="center" wrapText="1"/>
    </xf>
    <xf numFmtId="0" fontId="18" fillId="46" borderId="5" xfId="0" applyFont="1" applyFill="1" applyBorder="1" applyAlignment="1">
      <alignment horizontal="center"/>
    </xf>
    <xf numFmtId="0" fontId="18" fillId="46" borderId="9" xfId="0" applyFont="1" applyFill="1" applyBorder="1" applyAlignment="1">
      <alignment horizontal="center"/>
    </xf>
    <xf numFmtId="0" fontId="18" fillId="44" borderId="5" xfId="0" applyFont="1" applyFill="1" applyBorder="1" applyAlignment="1">
      <alignment horizontal="center"/>
    </xf>
    <xf numFmtId="10" fontId="18" fillId="0" borderId="51" xfId="8" applyNumberFormat="1" applyFont="1" applyBorder="1" applyAlignment="1">
      <alignment horizontal="center"/>
    </xf>
    <xf numFmtId="10" fontId="18" fillId="0" borderId="8" xfId="8" applyNumberFormat="1" applyFont="1" applyBorder="1" applyAlignment="1">
      <alignment horizontal="center"/>
    </xf>
    <xf numFmtId="10" fontId="18" fillId="0" borderId="51" xfId="0" applyNumberFormat="1" applyFont="1" applyBorder="1" applyAlignment="1">
      <alignment horizontal="center"/>
    </xf>
    <xf numFmtId="0" fontId="18" fillId="11" borderId="13" xfId="0" applyFont="1" applyFill="1" applyBorder="1" applyAlignment="1">
      <alignment horizontal="center" vertical="center"/>
    </xf>
    <xf numFmtId="4" fontId="18" fillId="0" borderId="51" xfId="0" applyNumberFormat="1" applyFont="1" applyBorder="1" applyAlignment="1">
      <alignment horizontal="center"/>
    </xf>
    <xf numFmtId="4" fontId="18" fillId="0" borderId="51" xfId="8" applyNumberFormat="1" applyFont="1" applyBorder="1" applyAlignment="1">
      <alignment horizontal="center"/>
    </xf>
    <xf numFmtId="0" fontId="18" fillId="46" borderId="51" xfId="0" applyFont="1" applyFill="1" applyBorder="1" applyAlignment="1">
      <alignment horizontal="center"/>
    </xf>
    <xf numFmtId="0" fontId="18" fillId="44" borderId="51" xfId="0" applyFont="1" applyFill="1" applyBorder="1" applyAlignment="1">
      <alignment horizontal="center"/>
    </xf>
    <xf numFmtId="4" fontId="18" fillId="0" borderId="0" xfId="0" applyNumberFormat="1" applyFont="1"/>
    <xf numFmtId="0" fontId="18" fillId="46" borderId="8" xfId="0" applyFont="1" applyFill="1" applyBorder="1" applyAlignment="1">
      <alignment horizontal="center"/>
    </xf>
    <xf numFmtId="4" fontId="18" fillId="0" borderId="6" xfId="0" applyNumberFormat="1" applyFont="1" applyBorder="1" applyAlignment="1">
      <alignment horizontal="center"/>
    </xf>
    <xf numFmtId="4" fontId="18" fillId="0" borderId="6" xfId="8" applyNumberFormat="1" applyFont="1" applyBorder="1" applyAlignment="1">
      <alignment horizontal="center"/>
    </xf>
    <xf numFmtId="0" fontId="18" fillId="0" borderId="9" xfId="0" applyFont="1" applyBorder="1" applyAlignment="1">
      <alignment horizontal="center" vertical="center"/>
    </xf>
    <xf numFmtId="10" fontId="18" fillId="11" borderId="5" xfId="8" applyNumberFormat="1" applyFont="1" applyFill="1" applyBorder="1" applyAlignment="1">
      <alignment horizontal="center"/>
    </xf>
    <xf numFmtId="10" fontId="18" fillId="0" borderId="5" xfId="0" applyNumberFormat="1" applyFont="1" applyBorder="1" applyAlignment="1">
      <alignment horizontal="center"/>
    </xf>
    <xf numFmtId="0" fontId="18" fillId="0" borderId="14" xfId="0" applyFont="1" applyBorder="1" applyAlignment="1">
      <alignment horizontal="center" vertical="center"/>
    </xf>
    <xf numFmtId="10" fontId="18" fillId="11" borderId="5" xfId="0" applyNumberFormat="1" applyFont="1" applyFill="1" applyBorder="1" applyAlignment="1">
      <alignment horizontal="center"/>
    </xf>
    <xf numFmtId="43" fontId="18" fillId="0" borderId="6" xfId="0" applyNumberFormat="1" applyFont="1" applyBorder="1" applyAlignment="1">
      <alignment horizontal="center"/>
    </xf>
    <xf numFmtId="0" fontId="18" fillId="11" borderId="12" xfId="0" applyFont="1" applyFill="1" applyBorder="1" applyAlignment="1">
      <alignment horizontal="center" vertical="center"/>
    </xf>
    <xf numFmtId="0" fontId="18" fillId="11" borderId="14" xfId="0" applyFont="1" applyFill="1" applyBorder="1" applyAlignment="1">
      <alignment horizontal="center" vertical="center"/>
    </xf>
    <xf numFmtId="0" fontId="18" fillId="11" borderId="0" xfId="0" applyFont="1" applyFill="1" applyAlignment="1">
      <alignment horizontal="center"/>
    </xf>
    <xf numFmtId="0" fontId="18" fillId="11" borderId="12" xfId="0" applyFont="1" applyFill="1" applyBorder="1" applyAlignment="1">
      <alignment horizontal="center"/>
    </xf>
    <xf numFmtId="0" fontId="18" fillId="11" borderId="13" xfId="0" applyFont="1" applyFill="1" applyBorder="1" applyAlignment="1">
      <alignment horizontal="center"/>
    </xf>
    <xf numFmtId="0" fontId="18" fillId="11" borderId="14" xfId="0" applyFont="1" applyFill="1" applyBorder="1" applyAlignment="1">
      <alignment horizontal="center"/>
    </xf>
    <xf numFmtId="0" fontId="18" fillId="11" borderId="6" xfId="0" applyFont="1" applyFill="1" applyBorder="1" applyAlignment="1">
      <alignment horizontal="center"/>
    </xf>
    <xf numFmtId="0" fontId="18" fillId="50" borderId="0" xfId="0" applyFont="1" applyFill="1" applyAlignment="1">
      <alignment wrapText="1"/>
    </xf>
    <xf numFmtId="0" fontId="18" fillId="51" borderId="0" xfId="0" applyFont="1" applyFill="1" applyAlignment="1">
      <alignment wrapText="1"/>
    </xf>
    <xf numFmtId="0" fontId="18" fillId="0" borderId="32" xfId="0" applyFont="1" applyBorder="1"/>
    <xf numFmtId="0" fontId="18" fillId="0" borderId="33" xfId="0" applyFont="1" applyBorder="1"/>
    <xf numFmtId="0" fontId="18" fillId="0" borderId="41" xfId="0" applyFont="1" applyBorder="1"/>
    <xf numFmtId="0" fontId="18" fillId="0" borderId="68" xfId="0" applyFont="1" applyBorder="1"/>
    <xf numFmtId="0" fontId="18" fillId="45" borderId="1" xfId="0" applyFont="1" applyFill="1" applyBorder="1" applyAlignment="1">
      <alignment horizontal="center" vertical="center" wrapText="1"/>
    </xf>
    <xf numFmtId="0" fontId="18" fillId="52" borderId="36" xfId="0" applyFont="1" applyFill="1" applyBorder="1"/>
    <xf numFmtId="0" fontId="1" fillId="52" borderId="34" xfId="0" applyFont="1" applyFill="1" applyBorder="1"/>
    <xf numFmtId="0" fontId="1" fillId="52" borderId="35" xfId="0" applyFont="1" applyFill="1" applyBorder="1"/>
    <xf numFmtId="0" fontId="1" fillId="52" borderId="36" xfId="0" applyFont="1" applyFill="1" applyBorder="1"/>
    <xf numFmtId="0" fontId="18" fillId="52" borderId="35" xfId="0" applyFont="1" applyFill="1" applyBorder="1"/>
    <xf numFmtId="0" fontId="1" fillId="0" borderId="22" xfId="0" applyFont="1" applyBorder="1"/>
    <xf numFmtId="0" fontId="18" fillId="53" borderId="0" xfId="0" applyFont="1" applyFill="1" applyAlignment="1">
      <alignment wrapText="1"/>
    </xf>
    <xf numFmtId="0" fontId="17" fillId="11" borderId="21" xfId="0" applyFont="1" applyFill="1" applyBorder="1" applyAlignment="1">
      <alignment horizontal="center" vertical="center" wrapText="1"/>
    </xf>
    <xf numFmtId="0" fontId="17" fillId="49" borderId="21" xfId="0" applyFont="1" applyFill="1" applyBorder="1" applyAlignment="1">
      <alignment horizontal="center" vertical="center" wrapText="1"/>
    </xf>
    <xf numFmtId="0" fontId="18" fillId="51" borderId="21" xfId="0" applyFont="1" applyFill="1" applyBorder="1" applyAlignment="1">
      <alignment wrapText="1"/>
    </xf>
    <xf numFmtId="0" fontId="18" fillId="50" borderId="21" xfId="0" applyFont="1" applyFill="1" applyBorder="1" applyAlignment="1">
      <alignment wrapText="1"/>
    </xf>
    <xf numFmtId="0" fontId="18" fillId="53" borderId="21" xfId="0" applyFont="1" applyFill="1" applyBorder="1" applyAlignment="1">
      <alignment wrapText="1"/>
    </xf>
    <xf numFmtId="0" fontId="17" fillId="11" borderId="20" xfId="0" applyFont="1" applyFill="1" applyBorder="1" applyAlignment="1">
      <alignment horizontal="center" vertical="center" wrapText="1"/>
    </xf>
    <xf numFmtId="0" fontId="17" fillId="11" borderId="22" xfId="0" applyFont="1" applyFill="1" applyBorder="1" applyAlignment="1">
      <alignment horizontal="center" vertical="center" wrapText="1"/>
    </xf>
    <xf numFmtId="0" fontId="17" fillId="49" borderId="22" xfId="0" applyFont="1" applyFill="1" applyBorder="1" applyAlignment="1">
      <alignment horizontal="center" vertical="center" wrapText="1"/>
    </xf>
    <xf numFmtId="0" fontId="18" fillId="51" borderId="22" xfId="0" applyFont="1" applyFill="1" applyBorder="1" applyAlignment="1">
      <alignment wrapText="1"/>
    </xf>
    <xf numFmtId="0" fontId="18" fillId="50" borderId="22" xfId="0" applyFont="1" applyFill="1" applyBorder="1" applyAlignment="1">
      <alignment wrapText="1"/>
    </xf>
    <xf numFmtId="0" fontId="18" fillId="11" borderId="69" xfId="0" applyFont="1" applyFill="1" applyBorder="1" applyAlignment="1">
      <alignment horizontal="center" vertical="center" wrapText="1"/>
    </xf>
    <xf numFmtId="0" fontId="18" fillId="11" borderId="7" xfId="0" applyFont="1" applyFill="1" applyBorder="1" applyAlignment="1">
      <alignment horizontal="center" vertical="center" wrapText="1"/>
    </xf>
    <xf numFmtId="0" fontId="18" fillId="11" borderId="12" xfId="0" applyFont="1" applyFill="1" applyBorder="1" applyAlignment="1">
      <alignment horizontal="center" vertical="center" wrapText="1"/>
    </xf>
    <xf numFmtId="0" fontId="18" fillId="54" borderId="0" xfId="0" applyFont="1" applyFill="1" applyAlignment="1">
      <alignment wrapText="1"/>
    </xf>
    <xf numFmtId="0" fontId="18" fillId="55" borderId="0" xfId="0" applyFont="1" applyFill="1" applyAlignment="1">
      <alignment wrapText="1"/>
    </xf>
    <xf numFmtId="0" fontId="18" fillId="56" borderId="0" xfId="0" applyFont="1" applyFill="1" applyAlignment="1">
      <alignment wrapText="1"/>
    </xf>
    <xf numFmtId="0" fontId="18" fillId="57" borderId="0" xfId="0" applyFont="1" applyFill="1" applyAlignment="1">
      <alignment wrapText="1"/>
    </xf>
    <xf numFmtId="0" fontId="18" fillId="54" borderId="21" xfId="0" applyFont="1" applyFill="1" applyBorder="1" applyAlignment="1">
      <alignment wrapText="1"/>
    </xf>
    <xf numFmtId="0" fontId="18" fillId="54" borderId="22" xfId="0" applyFont="1" applyFill="1" applyBorder="1" applyAlignment="1">
      <alignment wrapText="1"/>
    </xf>
    <xf numFmtId="0" fontId="18" fillId="55" borderId="22" xfId="0" applyFont="1" applyFill="1" applyBorder="1" applyAlignment="1">
      <alignment wrapText="1"/>
    </xf>
    <xf numFmtId="0" fontId="18" fillId="56" borderId="22" xfId="0" applyFont="1" applyFill="1" applyBorder="1" applyAlignment="1">
      <alignment wrapText="1"/>
    </xf>
    <xf numFmtId="0" fontId="18" fillId="57" borderId="24" xfId="0" applyFont="1" applyFill="1" applyBorder="1" applyAlignment="1">
      <alignment wrapText="1"/>
    </xf>
    <xf numFmtId="0" fontId="18" fillId="57" borderId="25" xfId="0" applyFont="1" applyFill="1" applyBorder="1" applyAlignment="1">
      <alignment wrapText="1"/>
    </xf>
    <xf numFmtId="4" fontId="18" fillId="11" borderId="6" xfId="8" applyNumberFormat="1" applyFont="1" applyFill="1" applyBorder="1" applyAlignment="1">
      <alignment horizontal="center"/>
    </xf>
    <xf numFmtId="43" fontId="18" fillId="5" borderId="6" xfId="50" applyFont="1" applyFill="1" applyBorder="1" applyAlignment="1">
      <alignment horizontal="center"/>
    </xf>
    <xf numFmtId="10" fontId="0" fillId="0" borderId="0" xfId="0" applyNumberFormat="1"/>
    <xf numFmtId="0" fontId="18" fillId="53" borderId="22" xfId="0" applyFont="1" applyFill="1" applyBorder="1" applyAlignment="1">
      <alignment wrapText="1"/>
    </xf>
    <xf numFmtId="0" fontId="18" fillId="57" borderId="14" xfId="0" applyFont="1" applyFill="1" applyBorder="1" applyAlignment="1">
      <alignment wrapText="1"/>
    </xf>
    <xf numFmtId="0" fontId="17" fillId="47" borderId="30" xfId="0" applyFont="1" applyFill="1" applyBorder="1" applyAlignment="1">
      <alignment horizontal="center" vertical="center" wrapText="1"/>
    </xf>
    <xf numFmtId="0" fontId="17" fillId="47" borderId="18" xfId="0" applyFont="1" applyFill="1" applyBorder="1" applyAlignment="1">
      <alignment horizontal="center" vertical="center" wrapText="1"/>
    </xf>
    <xf numFmtId="0" fontId="17" fillId="47" borderId="19" xfId="0" applyFont="1" applyFill="1" applyBorder="1" applyAlignment="1">
      <alignment horizontal="center" vertical="center" wrapText="1"/>
    </xf>
    <xf numFmtId="0" fontId="18" fillId="0" borderId="18" xfId="0" applyFont="1" applyBorder="1"/>
    <xf numFmtId="0" fontId="18" fillId="0" borderId="19" xfId="0" applyFont="1" applyBorder="1"/>
    <xf numFmtId="0" fontId="17" fillId="58" borderId="21" xfId="0" applyFont="1" applyFill="1" applyBorder="1" applyAlignment="1">
      <alignment horizontal="center" vertical="center" wrapText="1"/>
    </xf>
    <xf numFmtId="0" fontId="17" fillId="58" borderId="20" xfId="0" applyFont="1" applyFill="1" applyBorder="1" applyAlignment="1">
      <alignment horizontal="center" vertical="center" wrapText="1"/>
    </xf>
    <xf numFmtId="0" fontId="17" fillId="58" borderId="22" xfId="0" applyFont="1" applyFill="1" applyBorder="1" applyAlignment="1">
      <alignment horizontal="center" vertical="center" wrapText="1"/>
    </xf>
    <xf numFmtId="44" fontId="0" fillId="0" borderId="0" xfId="0" applyNumberFormat="1" applyAlignment="1">
      <alignment horizontal="center" vertical="center"/>
    </xf>
    <xf numFmtId="44" fontId="15" fillId="0" borderId="0" xfId="0" applyNumberFormat="1" applyFont="1" applyAlignment="1">
      <alignment horizontal="center" vertical="center"/>
    </xf>
    <xf numFmtId="0" fontId="17" fillId="0" borderId="30" xfId="0" applyFont="1" applyBorder="1" applyAlignment="1">
      <alignment horizontal="center" vertical="center"/>
    </xf>
    <xf numFmtId="0" fontId="18" fillId="11" borderId="31" xfId="0" applyFont="1" applyFill="1" applyBorder="1" applyAlignment="1">
      <alignment horizontal="center" vertical="center" wrapText="1"/>
    </xf>
    <xf numFmtId="2" fontId="18" fillId="11" borderId="44" xfId="0" applyNumberFormat="1" applyFont="1" applyFill="1" applyBorder="1" applyAlignment="1">
      <alignment horizontal="center" vertical="center"/>
    </xf>
    <xf numFmtId="2" fontId="18" fillId="11" borderId="47" xfId="0" applyNumberFormat="1" applyFont="1" applyFill="1" applyBorder="1" applyAlignment="1">
      <alignment horizontal="center" vertical="center"/>
    </xf>
    <xf numFmtId="2" fontId="18" fillId="11" borderId="17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0" borderId="15" xfId="0" applyBorder="1" applyAlignment="1">
      <alignment horizontal="left" vertical="center"/>
    </xf>
    <xf numFmtId="0" fontId="0" fillId="0" borderId="64" xfId="0" applyBorder="1" applyAlignment="1">
      <alignment horizontal="left" vertical="center" wrapText="1"/>
    </xf>
    <xf numFmtId="0" fontId="0" fillId="0" borderId="64" xfId="0" applyBorder="1" applyAlignment="1">
      <alignment horizontal="left" vertical="center"/>
    </xf>
    <xf numFmtId="0" fontId="0" fillId="0" borderId="65" xfId="0" applyBorder="1" applyAlignment="1">
      <alignment horizontal="left" vertical="center"/>
    </xf>
    <xf numFmtId="0" fontId="18" fillId="51" borderId="39" xfId="0" applyFont="1" applyFill="1" applyBorder="1" applyAlignment="1">
      <alignment wrapText="1"/>
    </xf>
    <xf numFmtId="0" fontId="18" fillId="52" borderId="66" xfId="0" applyFont="1" applyFill="1" applyBorder="1"/>
    <xf numFmtId="0" fontId="17" fillId="58" borderId="39" xfId="0" applyFont="1" applyFill="1" applyBorder="1" applyAlignment="1">
      <alignment horizontal="center" vertical="center" wrapText="1"/>
    </xf>
    <xf numFmtId="0" fontId="17" fillId="48" borderId="39" xfId="0" applyFont="1" applyFill="1" applyBorder="1" applyAlignment="1">
      <alignment horizontal="center" vertical="center" wrapText="1"/>
    </xf>
    <xf numFmtId="0" fontId="17" fillId="49" borderId="39" xfId="0" applyFont="1" applyFill="1" applyBorder="1" applyAlignment="1">
      <alignment horizontal="center" vertical="center" wrapText="1"/>
    </xf>
    <xf numFmtId="0" fontId="18" fillId="53" borderId="39" xfId="0" applyFont="1" applyFill="1" applyBorder="1" applyAlignment="1">
      <alignment wrapText="1"/>
    </xf>
    <xf numFmtId="0" fontId="18" fillId="57" borderId="67" xfId="0" applyFont="1" applyFill="1" applyBorder="1" applyAlignment="1">
      <alignment wrapText="1"/>
    </xf>
    <xf numFmtId="0" fontId="18" fillId="5" borderId="21" xfId="0" applyFont="1" applyFill="1" applyBorder="1" applyAlignment="1">
      <alignment wrapText="1"/>
    </xf>
    <xf numFmtId="0" fontId="18" fillId="5" borderId="22" xfId="0" applyFont="1" applyFill="1" applyBorder="1" applyAlignment="1">
      <alignment wrapText="1"/>
    </xf>
    <xf numFmtId="0" fontId="18" fillId="59" borderId="21" xfId="0" applyFont="1" applyFill="1" applyBorder="1" applyAlignment="1">
      <alignment wrapText="1"/>
    </xf>
    <xf numFmtId="0" fontId="18" fillId="59" borderId="22" xfId="0" applyFont="1" applyFill="1" applyBorder="1" applyAlignment="1">
      <alignment wrapText="1"/>
    </xf>
    <xf numFmtId="0" fontId="18" fillId="59" borderId="39" xfId="0" applyFont="1" applyFill="1" applyBorder="1" applyAlignment="1">
      <alignment wrapText="1"/>
    </xf>
    <xf numFmtId="0" fontId="18" fillId="59" borderId="0" xfId="0" applyFont="1" applyFill="1" applyAlignment="1">
      <alignment wrapText="1"/>
    </xf>
    <xf numFmtId="0" fontId="1" fillId="0" borderId="0" xfId="0" applyFont="1" applyAlignment="1">
      <alignment horizontal="center" vertical="center"/>
    </xf>
    <xf numFmtId="2" fontId="1" fillId="0" borderId="21" xfId="0" applyNumberFormat="1" applyFont="1" applyBorder="1" applyAlignment="1">
      <alignment horizontal="center" vertical="center"/>
    </xf>
    <xf numFmtId="44" fontId="18" fillId="5" borderId="18" xfId="7" applyNumberFormat="1" applyFont="1" applyFill="1" applyBorder="1" applyAlignment="1">
      <alignment horizontal="center" vertical="center" wrapText="1"/>
    </xf>
    <xf numFmtId="44" fontId="18" fillId="5" borderId="40" xfId="7" applyNumberFormat="1" applyFont="1" applyFill="1" applyBorder="1" applyAlignment="1">
      <alignment horizontal="center" vertical="center"/>
    </xf>
    <xf numFmtId="44" fontId="18" fillId="10" borderId="17" xfId="7" applyNumberFormat="1" applyFont="1" applyFill="1" applyBorder="1" applyAlignment="1">
      <alignment horizontal="center" vertical="center"/>
    </xf>
    <xf numFmtId="2" fontId="18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2" fontId="19" fillId="5" borderId="18" xfId="0" applyNumberFormat="1" applyFont="1" applyFill="1" applyBorder="1" applyAlignment="1">
      <alignment horizontal="center" vertical="center"/>
    </xf>
    <xf numFmtId="168" fontId="18" fillId="11" borderId="44" xfId="0" applyNumberFormat="1" applyFont="1" applyFill="1" applyBorder="1" applyAlignment="1">
      <alignment horizontal="center" vertical="center"/>
    </xf>
    <xf numFmtId="168" fontId="18" fillId="0" borderId="0" xfId="0" applyNumberFormat="1" applyFont="1" applyAlignment="1">
      <alignment horizontal="center" vertical="center"/>
    </xf>
    <xf numFmtId="168" fontId="18" fillId="11" borderId="31" xfId="0" applyNumberFormat="1" applyFont="1" applyFill="1" applyBorder="1" applyAlignment="1">
      <alignment horizontal="center" vertical="center"/>
    </xf>
    <xf numFmtId="0" fontId="18" fillId="11" borderId="34" xfId="0" applyFont="1" applyFill="1" applyBorder="1" applyAlignment="1">
      <alignment horizontal="center" vertical="center"/>
    </xf>
    <xf numFmtId="0" fontId="18" fillId="11" borderId="35" xfId="0" applyFont="1" applyFill="1" applyBorder="1" applyAlignment="1">
      <alignment horizontal="center" vertical="center" wrapText="1"/>
    </xf>
    <xf numFmtId="0" fontId="18" fillId="11" borderId="35" xfId="0" applyFont="1" applyFill="1" applyBorder="1" applyAlignment="1">
      <alignment horizontal="center" vertical="center"/>
    </xf>
    <xf numFmtId="168" fontId="18" fillId="11" borderId="35" xfId="0" applyNumberFormat="1" applyFont="1" applyFill="1" applyBorder="1" applyAlignment="1">
      <alignment horizontal="center" vertical="center"/>
    </xf>
    <xf numFmtId="2" fontId="18" fillId="11" borderId="35" xfId="0" applyNumberFormat="1" applyFont="1" applyFill="1" applyBorder="1" applyAlignment="1">
      <alignment horizontal="center" vertical="center"/>
    </xf>
    <xf numFmtId="2" fontId="18" fillId="11" borderId="36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168" fontId="1" fillId="0" borderId="0" xfId="0" applyNumberFormat="1" applyFont="1" applyAlignment="1">
      <alignment horizontal="center" vertical="center"/>
    </xf>
    <xf numFmtId="2" fontId="1" fillId="0" borderId="18" xfId="0" applyNumberFormat="1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7" fillId="5" borderId="21" xfId="0" applyFont="1" applyFill="1" applyBorder="1" applyAlignment="1">
      <alignment horizontal="center" vertical="center"/>
    </xf>
    <xf numFmtId="0" fontId="17" fillId="5" borderId="18" xfId="0" applyFont="1" applyFill="1" applyBorder="1" applyAlignment="1">
      <alignment horizontal="center" vertical="center"/>
    </xf>
    <xf numFmtId="0" fontId="17" fillId="5" borderId="33" xfId="0" applyFont="1" applyFill="1" applyBorder="1" applyAlignment="1">
      <alignment horizontal="center" vertical="center"/>
    </xf>
    <xf numFmtId="0" fontId="19" fillId="0" borderId="18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/>
    </xf>
    <xf numFmtId="2" fontId="18" fillId="0" borderId="18" xfId="0" applyNumberFormat="1" applyFont="1" applyBorder="1" applyAlignment="1">
      <alignment horizontal="center" vertical="center"/>
    </xf>
    <xf numFmtId="44" fontId="18" fillId="0" borderId="18" xfId="7" applyNumberFormat="1" applyFont="1" applyFill="1" applyBorder="1" applyAlignment="1">
      <alignment horizontal="center" vertical="center" wrapText="1"/>
    </xf>
    <xf numFmtId="44" fontId="18" fillId="0" borderId="62" xfId="7" applyNumberFormat="1" applyFont="1" applyFill="1" applyBorder="1" applyAlignment="1">
      <alignment horizontal="center" vertical="center"/>
    </xf>
    <xf numFmtId="44" fontId="0" fillId="0" borderId="36" xfId="0" applyNumberForma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/>
    </xf>
    <xf numFmtId="2" fontId="18" fillId="0" borderId="21" xfId="0" applyNumberFormat="1" applyFont="1" applyBorder="1" applyAlignment="1">
      <alignment horizontal="center" vertical="center"/>
    </xf>
    <xf numFmtId="44" fontId="18" fillId="0" borderId="21" xfId="7" applyNumberFormat="1" applyFont="1" applyFill="1" applyBorder="1" applyAlignment="1">
      <alignment horizontal="center" vertical="center" wrapText="1"/>
    </xf>
    <xf numFmtId="44" fontId="0" fillId="0" borderId="22" xfId="0" applyNumberFormat="1" applyBorder="1" applyAlignment="1">
      <alignment horizontal="center" vertical="center"/>
    </xf>
    <xf numFmtId="0" fontId="1" fillId="0" borderId="28" xfId="0" applyFont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/>
    </xf>
    <xf numFmtId="2" fontId="19" fillId="0" borderId="28" xfId="0" applyNumberFormat="1" applyFont="1" applyBorder="1" applyAlignment="1">
      <alignment horizontal="center" vertical="center"/>
    </xf>
    <xf numFmtId="44" fontId="18" fillId="0" borderId="28" xfId="7" applyNumberFormat="1" applyFont="1" applyFill="1" applyBorder="1" applyAlignment="1">
      <alignment horizontal="center" vertical="center" wrapText="1"/>
    </xf>
    <xf numFmtId="44" fontId="18" fillId="0" borderId="40" xfId="7" applyNumberFormat="1" applyFont="1" applyFill="1" applyBorder="1" applyAlignment="1">
      <alignment horizontal="center" vertical="center"/>
    </xf>
    <xf numFmtId="0" fontId="1" fillId="0" borderId="33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/>
    </xf>
    <xf numFmtId="2" fontId="19" fillId="0" borderId="33" xfId="0" applyNumberFormat="1" applyFont="1" applyBorder="1" applyAlignment="1">
      <alignment horizontal="center" vertical="center"/>
    </xf>
    <xf numFmtId="44" fontId="18" fillId="0" borderId="33" xfId="7" applyNumberFormat="1" applyFont="1" applyFill="1" applyBorder="1" applyAlignment="1">
      <alignment horizontal="center" vertical="center" wrapText="1"/>
    </xf>
    <xf numFmtId="44" fontId="18" fillId="0" borderId="37" xfId="7" applyNumberFormat="1" applyFont="1" applyFill="1" applyBorder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2" fontId="19" fillId="0" borderId="21" xfId="0" applyNumberFormat="1" applyFont="1" applyBorder="1" applyAlignment="1">
      <alignment horizontal="center" vertical="center"/>
    </xf>
    <xf numFmtId="44" fontId="18" fillId="0" borderId="63" xfId="7" applyNumberFormat="1" applyFont="1" applyFill="1" applyBorder="1" applyAlignment="1">
      <alignment horizontal="center" vertical="center"/>
    </xf>
    <xf numFmtId="2" fontId="1" fillId="0" borderId="33" xfId="0" applyNumberFormat="1" applyFont="1" applyBorder="1" applyAlignment="1">
      <alignment horizontal="center" vertical="center"/>
    </xf>
    <xf numFmtId="44" fontId="0" fillId="0" borderId="41" xfId="0" applyNumberForma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2" fontId="1" fillId="0" borderId="28" xfId="0" applyNumberFormat="1" applyFont="1" applyBorder="1" applyAlignment="1">
      <alignment horizontal="center" vertical="center"/>
    </xf>
    <xf numFmtId="44" fontId="0" fillId="0" borderId="29" xfId="0" applyNumberFormat="1" applyBorder="1" applyAlignment="1">
      <alignment horizontal="center" vertical="center"/>
    </xf>
    <xf numFmtId="44" fontId="18" fillId="0" borderId="21" xfId="7" applyNumberFormat="1" applyFont="1" applyFill="1" applyBorder="1" applyAlignment="1">
      <alignment horizontal="center" vertical="center"/>
    </xf>
    <xf numFmtId="2" fontId="19" fillId="0" borderId="18" xfId="0" applyNumberFormat="1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17" fillId="0" borderId="33" xfId="0" applyFont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 wrapText="1"/>
    </xf>
    <xf numFmtId="0" fontId="1" fillId="5" borderId="24" xfId="0" applyFon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horizontal="center" vertical="center"/>
    </xf>
    <xf numFmtId="0" fontId="19" fillId="0" borderId="33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48" borderId="22" xfId="0" applyFont="1" applyFill="1" applyBorder="1"/>
    <xf numFmtId="0" fontId="18" fillId="11" borderId="4" xfId="0" applyFont="1" applyFill="1" applyBorder="1" applyAlignment="1">
      <alignment horizontal="center" vertical="center" wrapText="1"/>
    </xf>
    <xf numFmtId="10" fontId="0" fillId="0" borderId="0" xfId="8" applyNumberFormat="1" applyFont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2" fontId="1" fillId="5" borderId="21" xfId="0" applyNumberFormat="1" applyFont="1" applyFill="1" applyBorder="1" applyAlignment="1">
      <alignment horizontal="center" vertical="center"/>
    </xf>
    <xf numFmtId="168" fontId="1" fillId="5" borderId="21" xfId="0" applyNumberFormat="1" applyFont="1" applyFill="1" applyBorder="1" applyAlignment="1">
      <alignment horizontal="center" vertical="center"/>
    </xf>
    <xf numFmtId="2" fontId="1" fillId="5" borderId="22" xfId="0" applyNumberFormat="1" applyFont="1" applyFill="1" applyBorder="1" applyAlignment="1">
      <alignment horizontal="center" vertical="center"/>
    </xf>
    <xf numFmtId="0" fontId="1" fillId="5" borderId="24" xfId="0" applyFont="1" applyFill="1" applyBorder="1" applyAlignment="1">
      <alignment horizontal="center" vertical="center"/>
    </xf>
    <xf numFmtId="2" fontId="1" fillId="5" borderId="24" xfId="0" applyNumberFormat="1" applyFont="1" applyFill="1" applyBorder="1" applyAlignment="1">
      <alignment horizontal="center" vertical="center"/>
    </xf>
    <xf numFmtId="168" fontId="1" fillId="5" borderId="24" xfId="0" applyNumberFormat="1" applyFont="1" applyFill="1" applyBorder="1" applyAlignment="1">
      <alignment horizontal="center" vertical="center"/>
    </xf>
    <xf numFmtId="2" fontId="1" fillId="5" borderId="25" xfId="0" applyNumberFormat="1" applyFont="1" applyFill="1" applyBorder="1" applyAlignment="1">
      <alignment horizontal="center" vertical="center"/>
    </xf>
    <xf numFmtId="168" fontId="1" fillId="0" borderId="21" xfId="0" applyNumberFormat="1" applyFont="1" applyBorder="1" applyAlignment="1">
      <alignment horizontal="center" vertical="center"/>
    </xf>
    <xf numFmtId="2" fontId="1" fillId="0" borderId="22" xfId="0" applyNumberFormat="1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/>
    </xf>
    <xf numFmtId="2" fontId="1" fillId="0" borderId="24" xfId="0" applyNumberFormat="1" applyFont="1" applyBorder="1" applyAlignment="1">
      <alignment horizontal="center" vertical="center"/>
    </xf>
    <xf numFmtId="168" fontId="1" fillId="0" borderId="24" xfId="0" applyNumberFormat="1" applyFont="1" applyBorder="1" applyAlignment="1">
      <alignment horizontal="center" vertical="center"/>
    </xf>
    <xf numFmtId="2" fontId="1" fillId="0" borderId="25" xfId="0" applyNumberFormat="1" applyFont="1" applyBorder="1" applyAlignment="1">
      <alignment horizontal="center" vertical="center"/>
    </xf>
    <xf numFmtId="168" fontId="1" fillId="0" borderId="18" xfId="0" applyNumberFormat="1" applyFont="1" applyBorder="1" applyAlignment="1">
      <alignment horizontal="center" vertical="center"/>
    </xf>
    <xf numFmtId="2" fontId="1" fillId="0" borderId="19" xfId="0" applyNumberFormat="1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 wrapText="1"/>
    </xf>
    <xf numFmtId="0" fontId="1" fillId="0" borderId="67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/>
    </xf>
    <xf numFmtId="0" fontId="13" fillId="0" borderId="38" xfId="6" applyFill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168" fontId="1" fillId="0" borderId="38" xfId="0" applyNumberFormat="1" applyFont="1" applyBorder="1" applyAlignment="1">
      <alignment horizontal="center" vertical="center"/>
    </xf>
    <xf numFmtId="2" fontId="1" fillId="0" borderId="38" xfId="0" applyNumberFormat="1" applyFont="1" applyBorder="1" applyAlignment="1">
      <alignment horizontal="center" vertical="center"/>
    </xf>
    <xf numFmtId="2" fontId="1" fillId="0" borderId="49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2" fontId="1" fillId="0" borderId="13" xfId="0" applyNumberFormat="1" applyFont="1" applyBorder="1" applyAlignment="1">
      <alignment horizontal="center" vertical="center"/>
    </xf>
    <xf numFmtId="168" fontId="1" fillId="0" borderId="13" xfId="0" applyNumberFormat="1" applyFont="1" applyBorder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168" fontId="1" fillId="0" borderId="43" xfId="0" applyNumberFormat="1" applyFont="1" applyBorder="1" applyAlignment="1">
      <alignment horizontal="center" vertical="center"/>
    </xf>
    <xf numFmtId="0" fontId="18" fillId="0" borderId="24" xfId="0" applyFont="1" applyBorder="1" applyAlignment="1">
      <alignment horizontal="center" vertical="center" wrapText="1"/>
    </xf>
    <xf numFmtId="2" fontId="1" fillId="0" borderId="22" xfId="0" applyNumberFormat="1" applyFont="1" applyBorder="1" applyAlignment="1">
      <alignment horizontal="center" vertical="center" wrapText="1"/>
    </xf>
    <xf numFmtId="2" fontId="1" fillId="0" borderId="21" xfId="0" applyNumberFormat="1" applyFont="1" applyBorder="1" applyAlignment="1">
      <alignment horizontal="center" vertical="center" wrapText="1"/>
    </xf>
    <xf numFmtId="2" fontId="1" fillId="0" borderId="25" xfId="0" applyNumberFormat="1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168" fontId="1" fillId="0" borderId="33" xfId="0" applyNumberFormat="1" applyFont="1" applyBorder="1" applyAlignment="1">
      <alignment horizontal="center" vertical="center"/>
    </xf>
    <xf numFmtId="2" fontId="1" fillId="0" borderId="41" xfId="0" applyNumberFormat="1" applyFont="1" applyBorder="1" applyAlignment="1">
      <alignment horizontal="center" vertical="center"/>
    </xf>
    <xf numFmtId="14" fontId="18" fillId="0" borderId="19" xfId="0" applyNumberFormat="1" applyFont="1" applyBorder="1" applyAlignment="1">
      <alignment horizontal="center" vertical="center"/>
    </xf>
    <xf numFmtId="14" fontId="18" fillId="0" borderId="22" xfId="0" applyNumberFormat="1" applyFont="1" applyBorder="1" applyAlignment="1">
      <alignment horizontal="center" vertical="center"/>
    </xf>
    <xf numFmtId="2" fontId="18" fillId="0" borderId="24" xfId="0" applyNumberFormat="1" applyFont="1" applyBorder="1" applyAlignment="1">
      <alignment horizontal="center" vertical="center"/>
    </xf>
    <xf numFmtId="14" fontId="18" fillId="0" borderId="25" xfId="0" applyNumberFormat="1" applyFont="1" applyBorder="1" applyAlignment="1">
      <alignment horizontal="center" vertical="center"/>
    </xf>
    <xf numFmtId="0" fontId="41" fillId="0" borderId="35" xfId="6" applyFont="1" applyFill="1" applyBorder="1" applyAlignment="1">
      <alignment horizontal="center" vertical="center" wrapText="1"/>
    </xf>
    <xf numFmtId="2" fontId="18" fillId="0" borderId="35" xfId="0" applyNumberFormat="1" applyFont="1" applyBorder="1" applyAlignment="1">
      <alignment horizontal="center" vertical="center"/>
    </xf>
    <xf numFmtId="14" fontId="18" fillId="0" borderId="36" xfId="0" applyNumberFormat="1" applyFont="1" applyBorder="1" applyAlignment="1">
      <alignment horizontal="center" vertical="center"/>
    </xf>
    <xf numFmtId="0" fontId="41" fillId="0" borderId="21" xfId="6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8" fillId="0" borderId="35" xfId="0" applyFont="1" applyBorder="1" applyAlignment="1">
      <alignment horizontal="center" vertical="center" wrapText="1"/>
    </xf>
    <xf numFmtId="0" fontId="19" fillId="0" borderId="28" xfId="0" applyFont="1" applyBorder="1" applyAlignment="1">
      <alignment horizontal="center" vertical="center" wrapText="1"/>
    </xf>
    <xf numFmtId="44" fontId="0" fillId="0" borderId="45" xfId="0" applyNumberFormat="1" applyBorder="1" applyAlignment="1">
      <alignment vertical="center" wrapText="1"/>
    </xf>
    <xf numFmtId="44" fontId="0" fillId="0" borderId="70" xfId="0" applyNumberFormat="1" applyBorder="1" applyAlignment="1">
      <alignment vertical="center" wrapText="1"/>
    </xf>
    <xf numFmtId="44" fontId="0" fillId="0" borderId="50" xfId="0" applyNumberFormat="1" applyBorder="1" applyAlignment="1">
      <alignment vertical="center" wrapText="1"/>
    </xf>
    <xf numFmtId="44" fontId="0" fillId="0" borderId="4" xfId="0" applyNumberFormat="1" applyBorder="1" applyAlignment="1">
      <alignment vertical="center" wrapText="1"/>
    </xf>
    <xf numFmtId="0" fontId="18" fillId="60" borderId="31" xfId="0" applyFont="1" applyFill="1" applyBorder="1" applyAlignment="1">
      <alignment horizontal="center" vertical="center" wrapText="1"/>
    </xf>
    <xf numFmtId="0" fontId="17" fillId="60" borderId="16" xfId="0" applyFont="1" applyFill="1" applyBorder="1" applyAlignment="1">
      <alignment horizontal="center" vertical="center"/>
    </xf>
    <xf numFmtId="0" fontId="18" fillId="60" borderId="31" xfId="0" applyFont="1" applyFill="1" applyBorder="1" applyAlignment="1">
      <alignment horizontal="center" vertical="center"/>
    </xf>
    <xf numFmtId="2" fontId="18" fillId="60" borderId="31" xfId="0" applyNumberFormat="1" applyFont="1" applyFill="1" applyBorder="1" applyAlignment="1">
      <alignment horizontal="center" vertical="center"/>
    </xf>
    <xf numFmtId="44" fontId="18" fillId="60" borderId="31" xfId="7" applyNumberFormat="1" applyFont="1" applyFill="1" applyBorder="1" applyAlignment="1">
      <alignment horizontal="center" vertical="center" wrapText="1"/>
    </xf>
    <xf numFmtId="44" fontId="17" fillId="60" borderId="61" xfId="0" applyNumberFormat="1" applyFont="1" applyFill="1" applyBorder="1" applyAlignment="1">
      <alignment horizontal="center" vertical="center"/>
    </xf>
    <xf numFmtId="44" fontId="15" fillId="60" borderId="17" xfId="0" applyNumberFormat="1" applyFont="1" applyFill="1" applyBorder="1"/>
    <xf numFmtId="0" fontId="6" fillId="60" borderId="31" xfId="0" applyFont="1" applyFill="1" applyBorder="1" applyAlignment="1">
      <alignment horizontal="center" vertical="center" wrapText="1"/>
    </xf>
    <xf numFmtId="0" fontId="17" fillId="60" borderId="31" xfId="0" applyFont="1" applyFill="1" applyBorder="1" applyAlignment="1">
      <alignment horizontal="center" vertical="center" wrapText="1"/>
    </xf>
    <xf numFmtId="0" fontId="17" fillId="60" borderId="31" xfId="0" applyFont="1" applyFill="1" applyBorder="1" applyAlignment="1">
      <alignment horizontal="center" vertical="center"/>
    </xf>
    <xf numFmtId="2" fontId="19" fillId="60" borderId="31" xfId="0" applyNumberFormat="1" applyFont="1" applyFill="1" applyBorder="1" applyAlignment="1">
      <alignment horizontal="center" vertical="center"/>
    </xf>
    <xf numFmtId="44" fontId="18" fillId="60" borderId="61" xfId="7" applyNumberFormat="1" applyFont="1" applyFill="1" applyBorder="1" applyAlignment="1">
      <alignment horizontal="center" vertical="center"/>
    </xf>
    <xf numFmtId="44" fontId="18" fillId="60" borderId="17" xfId="7" applyNumberFormat="1" applyFont="1" applyFill="1" applyBorder="1" applyAlignment="1">
      <alignment horizontal="center" vertical="center"/>
    </xf>
    <xf numFmtId="2" fontId="21" fillId="60" borderId="31" xfId="0" applyNumberFormat="1" applyFont="1" applyFill="1" applyBorder="1" applyAlignment="1">
      <alignment horizontal="center" vertical="center"/>
    </xf>
    <xf numFmtId="44" fontId="17" fillId="60" borderId="31" xfId="7" applyNumberFormat="1" applyFont="1" applyFill="1" applyBorder="1" applyAlignment="1">
      <alignment horizontal="center" vertical="center" wrapText="1"/>
    </xf>
    <xf numFmtId="44" fontId="17" fillId="60" borderId="61" xfId="7" applyNumberFormat="1" applyFont="1" applyFill="1" applyBorder="1" applyAlignment="1">
      <alignment horizontal="center" vertical="center"/>
    </xf>
    <xf numFmtId="0" fontId="17" fillId="60" borderId="16" xfId="0" applyFont="1" applyFill="1" applyBorder="1" applyAlignment="1">
      <alignment horizontal="center" vertical="center" wrapText="1"/>
    </xf>
    <xf numFmtId="2" fontId="17" fillId="60" borderId="31" xfId="0" applyNumberFormat="1" applyFont="1" applyFill="1" applyBorder="1" applyAlignment="1">
      <alignment horizontal="center" vertical="center"/>
    </xf>
    <xf numFmtId="44" fontId="17" fillId="60" borderId="17" xfId="0" applyNumberFormat="1" applyFont="1" applyFill="1" applyBorder="1" applyAlignment="1">
      <alignment horizontal="center" vertical="center"/>
    </xf>
    <xf numFmtId="44" fontId="17" fillId="60" borderId="47" xfId="0" applyNumberFormat="1" applyFont="1" applyFill="1" applyBorder="1" applyAlignment="1">
      <alignment horizontal="center" vertical="center"/>
    </xf>
    <xf numFmtId="164" fontId="17" fillId="12" borderId="5" xfId="7" applyFont="1" applyFill="1" applyBorder="1" applyAlignment="1">
      <alignment horizontal="center" vertical="center" wrapText="1"/>
    </xf>
    <xf numFmtId="0" fontId="17" fillId="12" borderId="5" xfId="0" applyFont="1" applyFill="1" applyBorder="1" applyAlignment="1">
      <alignment horizontal="center" vertical="center"/>
    </xf>
    <xf numFmtId="2" fontId="18" fillId="10" borderId="31" xfId="0" applyNumberFormat="1" applyFont="1" applyFill="1" applyBorder="1" applyAlignment="1">
      <alignment horizontal="center" vertical="center"/>
    </xf>
    <xf numFmtId="44" fontId="18" fillId="10" borderId="31" xfId="7" applyNumberFormat="1" applyFont="1" applyFill="1" applyBorder="1" applyAlignment="1">
      <alignment horizontal="center" vertical="center" wrapText="1"/>
    </xf>
    <xf numFmtId="44" fontId="18" fillId="10" borderId="61" xfId="7" applyNumberFormat="1" applyFont="1" applyFill="1" applyBorder="1" applyAlignment="1">
      <alignment horizontal="center" vertical="center"/>
    </xf>
    <xf numFmtId="2" fontId="18" fillId="0" borderId="33" xfId="0" applyNumberFormat="1" applyFont="1" applyBorder="1" applyAlignment="1">
      <alignment horizontal="center" vertical="center"/>
    </xf>
    <xf numFmtId="2" fontId="18" fillId="0" borderId="21" xfId="7" applyNumberFormat="1" applyFont="1" applyFill="1" applyBorder="1" applyAlignment="1">
      <alignment horizontal="center" vertical="center" wrapText="1"/>
    </xf>
    <xf numFmtId="0" fontId="41" fillId="0" borderId="18" xfId="6" applyFont="1" applyFill="1" applyBorder="1" applyAlignment="1">
      <alignment horizontal="center" vertical="center" wrapText="1"/>
    </xf>
    <xf numFmtId="0" fontId="17" fillId="12" borderId="15" xfId="0" applyFont="1" applyFill="1" applyBorder="1" applyAlignment="1">
      <alignment horizontal="center" vertical="center" wrapText="1"/>
    </xf>
    <xf numFmtId="0" fontId="17" fillId="12" borderId="26" xfId="0" applyFont="1" applyFill="1" applyBorder="1" applyAlignment="1">
      <alignment horizontal="center" vertical="center" wrapText="1"/>
    </xf>
    <xf numFmtId="0" fontId="17" fillId="12" borderId="15" xfId="0" applyFont="1" applyFill="1" applyBorder="1" applyAlignment="1">
      <alignment horizontal="center" vertical="center"/>
    </xf>
    <xf numFmtId="0" fontId="17" fillId="12" borderId="26" xfId="0" applyFont="1" applyFill="1" applyBorder="1" applyAlignment="1">
      <alignment horizontal="center" vertical="center"/>
    </xf>
    <xf numFmtId="2" fontId="17" fillId="12" borderId="15" xfId="0" applyNumberFormat="1" applyFont="1" applyFill="1" applyBorder="1" applyAlignment="1">
      <alignment horizontal="center" vertical="center"/>
    </xf>
    <xf numFmtId="2" fontId="17" fillId="12" borderId="26" xfId="0" applyNumberFormat="1" applyFont="1" applyFill="1" applyBorder="1" applyAlignment="1">
      <alignment horizontal="center" vertical="center"/>
    </xf>
    <xf numFmtId="0" fontId="17" fillId="12" borderId="1" xfId="0" applyFont="1" applyFill="1" applyBorder="1" applyAlignment="1">
      <alignment horizontal="center" vertical="center"/>
    </xf>
    <xf numFmtId="0" fontId="17" fillId="12" borderId="2" xfId="0" applyFont="1" applyFill="1" applyBorder="1" applyAlignment="1">
      <alignment horizontal="center" vertical="center"/>
    </xf>
    <xf numFmtId="0" fontId="17" fillId="12" borderId="3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7" fillId="56" borderId="2" xfId="0" applyFont="1" applyFill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5" fillId="11" borderId="16" xfId="0" applyFont="1" applyFill="1" applyBorder="1" applyAlignment="1">
      <alignment horizontal="center" vertical="center"/>
    </xf>
    <xf numFmtId="0" fontId="15" fillId="11" borderId="31" xfId="0" applyFont="1" applyFill="1" applyBorder="1" applyAlignment="1">
      <alignment horizontal="center" vertical="center"/>
    </xf>
    <xf numFmtId="0" fontId="15" fillId="11" borderId="17" xfId="0" applyFont="1" applyFill="1" applyBorder="1" applyAlignment="1">
      <alignment horizontal="center" vertical="center"/>
    </xf>
    <xf numFmtId="0" fontId="11" fillId="2" borderId="0" xfId="1" applyFont="1" applyFill="1" applyAlignment="1">
      <alignment horizontal="center" vertical="center"/>
    </xf>
    <xf numFmtId="0" fontId="5" fillId="2" borderId="0" xfId="1" applyFont="1" applyFill="1" applyAlignment="1">
      <alignment horizontal="center"/>
    </xf>
    <xf numFmtId="0" fontId="1" fillId="0" borderId="4" xfId="1" applyBorder="1" applyAlignment="1">
      <alignment horizontal="center"/>
    </xf>
    <xf numFmtId="0" fontId="1" fillId="0" borderId="11" xfId="1" applyBorder="1" applyAlignment="1">
      <alignment horizontal="center"/>
    </xf>
    <xf numFmtId="0" fontId="1" fillId="2" borderId="0" xfId="4" applyFill="1" applyAlignment="1">
      <alignment horizontal="center"/>
    </xf>
    <xf numFmtId="0" fontId="1" fillId="0" borderId="1" xfId="1" applyBorder="1" applyAlignment="1">
      <alignment horizontal="center"/>
    </xf>
    <xf numFmtId="0" fontId="1" fillId="0" borderId="2" xfId="1" applyBorder="1" applyAlignment="1">
      <alignment horizontal="center"/>
    </xf>
    <xf numFmtId="0" fontId="1" fillId="0" borderId="3" xfId="1" applyBorder="1" applyAlignment="1">
      <alignment horizontal="center"/>
    </xf>
    <xf numFmtId="0" fontId="6" fillId="4" borderId="1" xfId="1" applyFont="1" applyFill="1" applyBorder="1" applyAlignment="1">
      <alignment horizontal="center"/>
    </xf>
    <xf numFmtId="0" fontId="6" fillId="4" borderId="2" xfId="1" applyFont="1" applyFill="1" applyBorder="1" applyAlignment="1">
      <alignment horizontal="center"/>
    </xf>
    <xf numFmtId="0" fontId="6" fillId="4" borderId="3" xfId="1" applyFont="1" applyFill="1" applyBorder="1" applyAlignment="1">
      <alignment horizontal="center"/>
    </xf>
    <xf numFmtId="0" fontId="1" fillId="0" borderId="4" xfId="1" applyBorder="1" applyAlignment="1">
      <alignment horizontal="center" vertical="center"/>
    </xf>
    <xf numFmtId="0" fontId="1" fillId="0" borderId="5" xfId="1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1" fillId="0" borderId="1" xfId="1" applyBorder="1" applyAlignment="1">
      <alignment horizontal="left"/>
    </xf>
    <xf numFmtId="0" fontId="1" fillId="0" borderId="3" xfId="1" applyBorder="1" applyAlignment="1">
      <alignment horizontal="left"/>
    </xf>
    <xf numFmtId="0" fontId="1" fillId="0" borderId="9" xfId="1" applyBorder="1" applyAlignment="1">
      <alignment horizontal="left"/>
    </xf>
    <xf numFmtId="0" fontId="37" fillId="0" borderId="1" xfId="0" applyFont="1" applyBorder="1" applyAlignment="1">
      <alignment horizontal="center"/>
    </xf>
    <xf numFmtId="0" fontId="37" fillId="0" borderId="2" xfId="0" applyFont="1" applyBorder="1" applyAlignment="1">
      <alignment horizontal="center"/>
    </xf>
    <xf numFmtId="0" fontId="18" fillId="0" borderId="12" xfId="0" applyFont="1" applyBorder="1" applyAlignment="1">
      <alignment horizontal="left"/>
    </xf>
    <xf numFmtId="0" fontId="18" fillId="0" borderId="13" xfId="0" applyFont="1" applyBorder="1" applyAlignment="1">
      <alignment horizontal="left"/>
    </xf>
    <xf numFmtId="0" fontId="18" fillId="0" borderId="14" xfId="0" applyFont="1" applyBorder="1" applyAlignment="1">
      <alignment horizontal="left"/>
    </xf>
    <xf numFmtId="0" fontId="18" fillId="2" borderId="10" xfId="0" applyFont="1" applyFill="1" applyBorder="1" applyAlignment="1">
      <alignment horizontal="center" vertical="center"/>
    </xf>
    <xf numFmtId="0" fontId="18" fillId="2" borderId="12" xfId="0" applyFont="1" applyFill="1" applyBorder="1" applyAlignment="1">
      <alignment horizontal="center" vertical="center"/>
    </xf>
    <xf numFmtId="0" fontId="18" fillId="2" borderId="10" xfId="0" applyFont="1" applyFill="1" applyBorder="1" applyAlignment="1">
      <alignment horizontal="left" vertical="center"/>
    </xf>
    <xf numFmtId="0" fontId="18" fillId="2" borderId="11" xfId="0" applyFont="1" applyFill="1" applyBorder="1" applyAlignment="1">
      <alignment horizontal="left" vertical="center"/>
    </xf>
    <xf numFmtId="0" fontId="18" fillId="2" borderId="9" xfId="0" applyFont="1" applyFill="1" applyBorder="1" applyAlignment="1">
      <alignment horizontal="left" vertical="center"/>
    </xf>
    <xf numFmtId="2" fontId="18" fillId="2" borderId="5" xfId="0" applyNumberFormat="1" applyFont="1" applyFill="1" applyBorder="1" applyAlignment="1">
      <alignment horizontal="center" vertical="center"/>
    </xf>
    <xf numFmtId="2" fontId="18" fillId="2" borderId="6" xfId="0" applyNumberFormat="1" applyFont="1" applyFill="1" applyBorder="1" applyAlignment="1">
      <alignment horizontal="center" vertical="center"/>
    </xf>
    <xf numFmtId="0" fontId="18" fillId="2" borderId="12" xfId="0" applyFont="1" applyFill="1" applyBorder="1" applyAlignment="1">
      <alignment horizontal="left" vertical="center"/>
    </xf>
    <xf numFmtId="0" fontId="18" fillId="2" borderId="13" xfId="0" applyFont="1" applyFill="1" applyBorder="1" applyAlignment="1">
      <alignment horizontal="left" vertical="center"/>
    </xf>
    <xf numFmtId="0" fontId="18" fillId="2" borderId="14" xfId="0" applyFont="1" applyFill="1" applyBorder="1" applyAlignment="1">
      <alignment horizontal="left" vertical="center"/>
    </xf>
    <xf numFmtId="0" fontId="37" fillId="2" borderId="1" xfId="0" applyFont="1" applyFill="1" applyBorder="1" applyAlignment="1">
      <alignment horizontal="left" vertical="center"/>
    </xf>
    <xf numFmtId="0" fontId="37" fillId="2" borderId="2" xfId="0" applyFont="1" applyFill="1" applyBorder="1" applyAlignment="1">
      <alignment horizontal="left" vertical="center"/>
    </xf>
    <xf numFmtId="0" fontId="37" fillId="2" borderId="3" xfId="0" applyFont="1" applyFill="1" applyBorder="1" applyAlignment="1">
      <alignment horizontal="left" vertical="center"/>
    </xf>
    <xf numFmtId="0" fontId="18" fillId="2" borderId="1" xfId="0" applyFont="1" applyFill="1" applyBorder="1" applyAlignment="1">
      <alignment horizontal="left" vertical="center"/>
    </xf>
    <xf numFmtId="0" fontId="18" fillId="2" borderId="2" xfId="0" applyFont="1" applyFill="1" applyBorder="1" applyAlignment="1">
      <alignment horizontal="left" vertical="center"/>
    </xf>
    <xf numFmtId="0" fontId="18" fillId="2" borderId="3" xfId="0" applyFont="1" applyFill="1" applyBorder="1" applyAlignment="1">
      <alignment horizontal="left" vertical="center"/>
    </xf>
    <xf numFmtId="0" fontId="37" fillId="2" borderId="1" xfId="0" applyFont="1" applyFill="1" applyBorder="1" applyAlignment="1">
      <alignment horizontal="center" vertical="center"/>
    </xf>
    <xf numFmtId="0" fontId="37" fillId="2" borderId="2" xfId="0" applyFont="1" applyFill="1" applyBorder="1" applyAlignment="1">
      <alignment horizontal="center" vertical="center"/>
    </xf>
    <xf numFmtId="0" fontId="37" fillId="2" borderId="3" xfId="0" applyFont="1" applyFill="1" applyBorder="1" applyAlignment="1">
      <alignment horizontal="center" vertical="center"/>
    </xf>
    <xf numFmtId="49" fontId="38" fillId="7" borderId="10" xfId="5" applyNumberFormat="1" applyFont="1" applyFill="1" applyBorder="1" applyAlignment="1">
      <alignment horizontal="center" vertical="center"/>
    </xf>
    <xf numFmtId="49" fontId="38" fillId="7" borderId="11" xfId="5" applyNumberFormat="1" applyFont="1" applyFill="1" applyBorder="1" applyAlignment="1">
      <alignment horizontal="center" vertical="center"/>
    </xf>
    <xf numFmtId="49" fontId="38" fillId="7" borderId="9" xfId="5" applyNumberFormat="1" applyFont="1" applyFill="1" applyBorder="1" applyAlignment="1">
      <alignment horizontal="center" vertical="center"/>
    </xf>
    <xf numFmtId="0" fontId="37" fillId="2" borderId="7" xfId="0" applyFont="1" applyFill="1" applyBorder="1" applyAlignment="1">
      <alignment horizontal="center"/>
    </xf>
    <xf numFmtId="0" fontId="37" fillId="2" borderId="0" xfId="0" applyFont="1" applyFill="1" applyAlignment="1">
      <alignment horizontal="center"/>
    </xf>
    <xf numFmtId="0" fontId="37" fillId="2" borderId="8" xfId="0" applyFont="1" applyFill="1" applyBorder="1" applyAlignment="1">
      <alignment horizontal="center"/>
    </xf>
    <xf numFmtId="0" fontId="37" fillId="2" borderId="1" xfId="0" applyFont="1" applyFill="1" applyBorder="1" applyAlignment="1">
      <alignment horizontal="center"/>
    </xf>
    <xf numFmtId="0" fontId="37" fillId="2" borderId="2" xfId="0" applyFont="1" applyFill="1" applyBorder="1" applyAlignment="1">
      <alignment horizontal="center"/>
    </xf>
    <xf numFmtId="0" fontId="37" fillId="2" borderId="3" xfId="0" applyFont="1" applyFill="1" applyBorder="1" applyAlignment="1">
      <alignment horizontal="center"/>
    </xf>
    <xf numFmtId="0" fontId="18" fillId="0" borderId="32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18" fillId="0" borderId="2" xfId="0" applyFont="1" applyBorder="1" applyAlignment="1">
      <alignment horizontal="left" vertical="center"/>
    </xf>
    <xf numFmtId="0" fontId="18" fillId="0" borderId="3" xfId="0" applyFont="1" applyBorder="1" applyAlignment="1">
      <alignment horizontal="left" vertical="center"/>
    </xf>
    <xf numFmtId="0" fontId="1" fillId="0" borderId="32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0" fontId="18" fillId="0" borderId="23" xfId="0" applyFont="1" applyBorder="1" applyAlignment="1">
      <alignment horizontal="center" vertical="center"/>
    </xf>
    <xf numFmtId="0" fontId="18" fillId="0" borderId="48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51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 wrapText="1"/>
    </xf>
    <xf numFmtId="0" fontId="18" fillId="0" borderId="42" xfId="0" applyFont="1" applyBorder="1" applyAlignment="1">
      <alignment horizontal="center" vertical="center" wrapText="1"/>
    </xf>
    <xf numFmtId="2" fontId="18" fillId="0" borderId="18" xfId="0" applyNumberFormat="1" applyFont="1" applyBorder="1" applyAlignment="1">
      <alignment horizontal="center" vertical="center"/>
    </xf>
    <xf numFmtId="2" fontId="18" fillId="0" borderId="21" xfId="0" applyNumberFormat="1" applyFont="1" applyBorder="1" applyAlignment="1">
      <alignment horizontal="center" vertical="center"/>
    </xf>
    <xf numFmtId="2" fontId="18" fillId="0" borderId="24" xfId="0" applyNumberFormat="1" applyFont="1" applyBorder="1" applyAlignment="1">
      <alignment horizontal="center" vertical="center"/>
    </xf>
    <xf numFmtId="0" fontId="18" fillId="0" borderId="46" xfId="0" applyFont="1" applyBorder="1" applyAlignment="1">
      <alignment horizontal="center" vertical="center" wrapText="1"/>
    </xf>
    <xf numFmtId="2" fontId="18" fillId="0" borderId="35" xfId="0" applyNumberFormat="1" applyFont="1" applyBorder="1" applyAlignment="1">
      <alignment horizontal="center" vertical="center"/>
    </xf>
    <xf numFmtId="0" fontId="18" fillId="0" borderId="30" xfId="0" applyFont="1" applyBorder="1" applyAlignment="1">
      <alignment horizontal="center" vertical="center"/>
    </xf>
    <xf numFmtId="2" fontId="18" fillId="0" borderId="28" xfId="0" applyNumberFormat="1" applyFont="1" applyBorder="1" applyAlignment="1">
      <alignment horizontal="center" vertical="center"/>
    </xf>
    <xf numFmtId="2" fontId="18" fillId="0" borderId="43" xfId="0" applyNumberFormat="1" applyFont="1" applyBorder="1" applyAlignment="1">
      <alignment horizontal="center" vertical="center"/>
    </xf>
    <xf numFmtId="0" fontId="18" fillId="0" borderId="46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167" fontId="18" fillId="10" borderId="12" xfId="8" applyNumberFormat="1" applyFont="1" applyFill="1" applyBorder="1" applyAlignment="1">
      <alignment horizontal="center"/>
    </xf>
    <xf numFmtId="167" fontId="18" fillId="10" borderId="13" xfId="8" applyNumberFormat="1" applyFont="1" applyFill="1" applyBorder="1" applyAlignment="1">
      <alignment horizontal="center"/>
    </xf>
    <xf numFmtId="167" fontId="18" fillId="10" borderId="14" xfId="8" applyNumberFormat="1" applyFont="1" applyFill="1" applyBorder="1" applyAlignment="1">
      <alignment horizontal="center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wrapText="1"/>
    </xf>
    <xf numFmtId="0" fontId="17" fillId="0" borderId="2" xfId="0" applyFont="1" applyBorder="1" applyAlignment="1">
      <alignment horizontal="center" wrapText="1"/>
    </xf>
    <xf numFmtId="0" fontId="17" fillId="0" borderId="3" xfId="0" applyFont="1" applyBorder="1" applyAlignment="1">
      <alignment horizontal="center" wrapText="1"/>
    </xf>
    <xf numFmtId="10" fontId="18" fillId="10" borderId="12" xfId="8" applyNumberFormat="1" applyFont="1" applyFill="1" applyBorder="1" applyAlignment="1">
      <alignment horizontal="center"/>
    </xf>
    <xf numFmtId="10" fontId="18" fillId="10" borderId="13" xfId="8" applyNumberFormat="1" applyFont="1" applyFill="1" applyBorder="1" applyAlignment="1">
      <alignment horizontal="center"/>
    </xf>
    <xf numFmtId="10" fontId="18" fillId="10" borderId="14" xfId="8" applyNumberFormat="1" applyFont="1" applyFill="1" applyBorder="1" applyAlignment="1">
      <alignment horizontal="center"/>
    </xf>
    <xf numFmtId="0" fontId="17" fillId="58" borderId="8" xfId="0" applyFont="1" applyFill="1" applyBorder="1" applyAlignment="1">
      <alignment horizontal="center" vertical="center" wrapText="1"/>
    </xf>
    <xf numFmtId="0" fontId="17" fillId="52" borderId="8" xfId="0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51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7" fillId="0" borderId="51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11" borderId="11" xfId="0" applyFont="1" applyFill="1" applyBorder="1" applyAlignment="1">
      <alignment horizontal="center" vertical="center" wrapText="1"/>
    </xf>
    <xf numFmtId="0" fontId="18" fillId="11" borderId="0" xfId="0" applyFont="1" applyFill="1" applyAlignment="1">
      <alignment horizontal="center" vertical="center" wrapText="1"/>
    </xf>
    <xf numFmtId="0" fontId="18" fillId="11" borderId="13" xfId="0" applyFont="1" applyFill="1" applyBorder="1" applyAlignment="1">
      <alignment horizontal="center" vertical="center" wrapText="1"/>
    </xf>
    <xf numFmtId="4" fontId="18" fillId="0" borderId="11" xfId="0" applyNumberFormat="1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10" fontId="18" fillId="0" borderId="9" xfId="8" applyNumberFormat="1" applyFont="1" applyBorder="1" applyAlignment="1">
      <alignment horizontal="center" vertical="center"/>
    </xf>
    <xf numFmtId="10" fontId="18" fillId="0" borderId="8" xfId="8" applyNumberFormat="1" applyFont="1" applyBorder="1" applyAlignment="1">
      <alignment horizontal="center" vertical="center"/>
    </xf>
    <xf numFmtId="10" fontId="18" fillId="0" borderId="14" xfId="8" applyNumberFormat="1" applyFont="1" applyBorder="1" applyAlignment="1">
      <alignment horizontal="center" vertical="center"/>
    </xf>
    <xf numFmtId="0" fontId="17" fillId="12" borderId="1" xfId="0" applyFont="1" applyFill="1" applyBorder="1" applyAlignment="1">
      <alignment horizontal="center"/>
    </xf>
    <xf numFmtId="0" fontId="17" fillId="12" borderId="2" xfId="0" applyFont="1" applyFill="1" applyBorder="1" applyAlignment="1">
      <alignment horizontal="center"/>
    </xf>
    <xf numFmtId="0" fontId="17" fillId="12" borderId="3" xfId="0" applyFont="1" applyFill="1" applyBorder="1" applyAlignment="1">
      <alignment horizontal="center"/>
    </xf>
    <xf numFmtId="0" fontId="18" fillId="11" borderId="11" xfId="0" applyFont="1" applyFill="1" applyBorder="1" applyAlignment="1">
      <alignment horizontal="center" vertical="center"/>
    </xf>
    <xf numFmtId="0" fontId="18" fillId="11" borderId="13" xfId="0" applyFont="1" applyFill="1" applyBorder="1" applyAlignment="1">
      <alignment horizontal="center" vertical="center"/>
    </xf>
    <xf numFmtId="4" fontId="18" fillId="0" borderId="0" xfId="0" applyNumberFormat="1" applyFont="1" applyAlignment="1">
      <alignment horizontal="center" vertical="center"/>
    </xf>
    <xf numFmtId="4" fontId="18" fillId="0" borderId="13" xfId="0" applyNumberFormat="1" applyFont="1" applyBorder="1" applyAlignment="1">
      <alignment horizontal="center" vertical="center"/>
    </xf>
  </cellXfs>
  <cellStyles count="51">
    <cellStyle name="20% - Ênfase1" xfId="25" builtinId="30" customBuiltin="1"/>
    <cellStyle name="20% - Ênfase2" xfId="28" builtinId="34" customBuiltin="1"/>
    <cellStyle name="20% - Ênfase3" xfId="31" builtinId="38" customBuiltin="1"/>
    <cellStyle name="20% - Ênfase4" xfId="34" builtinId="42" customBuiltin="1"/>
    <cellStyle name="20% - Ênfase5" xfId="37" builtinId="46" customBuiltin="1"/>
    <cellStyle name="20% - Ênfase6" xfId="40" builtinId="50" customBuiltin="1"/>
    <cellStyle name="40% - Ênfase1" xfId="26" builtinId="31" customBuiltin="1"/>
    <cellStyle name="40% - Ênfase2" xfId="29" builtinId="35" customBuiltin="1"/>
    <cellStyle name="40% - Ênfase3" xfId="32" builtinId="39" customBuiltin="1"/>
    <cellStyle name="40% - Ênfase4" xfId="35" builtinId="43" customBuiltin="1"/>
    <cellStyle name="40% - Ênfase5" xfId="38" builtinId="47" customBuiltin="1"/>
    <cellStyle name="40% - Ênfase6" xfId="41" builtinId="51" customBuiltin="1"/>
    <cellStyle name="60% - Ênfase1 2" xfId="44" xr:uid="{10DDCBB3-7E01-4346-8A44-FD9C73EBDED4}"/>
    <cellStyle name="60% - Ênfase2 2" xfId="45" xr:uid="{2D57647A-3C57-467F-BEC9-E4C6201E90CF}"/>
    <cellStyle name="60% - Ênfase3 2" xfId="46" xr:uid="{33533914-53FC-468C-8405-B80A398ABA1F}"/>
    <cellStyle name="60% - Ênfase4 2" xfId="47" xr:uid="{E8DCCA7D-C69F-4951-902F-FDE46E973CB5}"/>
    <cellStyle name="60% - Ênfase5 2" xfId="48" xr:uid="{8D64C04F-1E68-4DF4-9B9C-43BD848DC031}"/>
    <cellStyle name="60% - Ênfase6 2" xfId="49" xr:uid="{7D4D369E-40DA-434F-8526-289D79309C28}"/>
    <cellStyle name="Bom" xfId="13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7" builtinId="33" customBuiltin="1"/>
    <cellStyle name="Ênfase3" xfId="30" builtinId="37" customBuiltin="1"/>
    <cellStyle name="Ênfase4" xfId="33" builtinId="41" customBuiltin="1"/>
    <cellStyle name="Ênfase5" xfId="36" builtinId="45" customBuiltin="1"/>
    <cellStyle name="Ênfase6" xfId="39" builtinId="49" customBuiltin="1"/>
    <cellStyle name="Entrada" xfId="15" builtinId="20" customBuiltin="1"/>
    <cellStyle name="Excel Built-in Normal" xfId="5" xr:uid="{00000000-0005-0000-0000-000000000000}"/>
    <cellStyle name="Hiperlink" xfId="6" builtinId="8"/>
    <cellStyle name="Moeda" xfId="7" builtinId="4"/>
    <cellStyle name="Moeda_pLANILHA DE BDI_MODELO v2_EXCEL" xfId="2" xr:uid="{00000000-0005-0000-0000-000003000000}"/>
    <cellStyle name="Neutro 2" xfId="43" xr:uid="{5B042554-3211-4599-985E-1F8AE0211CB1}"/>
    <cellStyle name="Normal" xfId="0" builtinId="0"/>
    <cellStyle name="Normal_pLANILHA DE BDI_MODELO v2_EXCEL" xfId="1" xr:uid="{00000000-0005-0000-0000-000005000000}"/>
    <cellStyle name="Normal_Planilha RETROFIT PALÁCIO - VRF  DEZEMBRO  2013 CRONOGRAMA 15 MESES _ R02 - 2" xfId="4" xr:uid="{00000000-0005-0000-0000-000006000000}"/>
    <cellStyle name="Nota" xfId="21" builtinId="10" customBuiltin="1"/>
    <cellStyle name="Porcentagem" xfId="8" builtinId="5"/>
    <cellStyle name="Porcentagem_pLANILHA DE BDI_MODELO v2_EXCEL" xfId="3" xr:uid="{00000000-0005-0000-0000-000008000000}"/>
    <cellStyle name="Ruim" xfId="14" builtinId="27" customBuiltin="1"/>
    <cellStyle name="Saída" xfId="16" builtinId="21" customBuiltin="1"/>
    <cellStyle name="Texto de Aviso" xfId="20" builtinId="11" customBuiltin="1"/>
    <cellStyle name="Texto Explicativo" xfId="22" builtinId="53" customBuiltin="1"/>
    <cellStyle name="Título 1" xfId="9" builtinId="16" customBuiltin="1"/>
    <cellStyle name="Título 2" xfId="10" builtinId="17" customBuiltin="1"/>
    <cellStyle name="Título 3" xfId="11" builtinId="18" customBuiltin="1"/>
    <cellStyle name="Título 4" xfId="12" builtinId="19" customBuiltin="1"/>
    <cellStyle name="Título 5" xfId="42" xr:uid="{B450A75A-0065-406D-A7A9-F4C8E3B98426}"/>
    <cellStyle name="Total" xfId="23" builtinId="25" customBuiltin="1"/>
    <cellStyle name="Vírgula 2" xfId="50" xr:uid="{961224AF-E900-429A-979A-72C8189A89B0}"/>
  </cellStyles>
  <dxfs count="0"/>
  <tableStyles count="0" defaultTableStyle="TableStyleMedium2" defaultPivotStyle="PivotStyleLight16"/>
  <colors>
    <mruColors>
      <color rgb="FFFF00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29</xdr:row>
      <xdr:rowOff>0</xdr:rowOff>
    </xdr:from>
    <xdr:to>
      <xdr:col>8</xdr:col>
      <xdr:colOff>914400</xdr:colOff>
      <xdr:row>33</xdr:row>
      <xdr:rowOff>76200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10325" y="5762625"/>
          <a:ext cx="375285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161925</xdr:colOff>
      <xdr:row>1</xdr:row>
      <xdr:rowOff>104775</xdr:rowOff>
    </xdr:from>
    <xdr:to>
      <xdr:col>1</xdr:col>
      <xdr:colOff>409575</xdr:colOff>
      <xdr:row>7</xdr:row>
      <xdr:rowOff>133350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66700"/>
          <a:ext cx="1133475" cy="1028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257175</xdr:colOff>
      <xdr:row>0</xdr:row>
      <xdr:rowOff>133350</xdr:rowOff>
    </xdr:from>
    <xdr:to>
      <xdr:col>8</xdr:col>
      <xdr:colOff>971550</xdr:colOff>
      <xdr:row>9</xdr:row>
      <xdr:rowOff>19050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50" y="133350"/>
          <a:ext cx="2314575" cy="1438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0</xdr:row>
      <xdr:rowOff>123825</xdr:rowOff>
    </xdr:from>
    <xdr:to>
      <xdr:col>6</xdr:col>
      <xdr:colOff>533400</xdr:colOff>
      <xdr:row>0</xdr:row>
      <xdr:rowOff>666750</xdr:rowOff>
    </xdr:to>
    <xdr:sp macro="" textlink="" fLocksText="0">
      <xdr:nvSpPr>
        <xdr:cNvPr id="2" name="Text Box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1238250" y="123825"/>
          <a:ext cx="3543300" cy="542925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90000" tIns="45000" rIns="90000" bIns="45000" anchor="t" upright="1"/>
        <a:lstStyle/>
        <a:p>
          <a:pPr algn="ctr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COMPOSIÇÃO DOS ENCARGOS SOCIAIS</a:t>
          </a:r>
        </a:p>
        <a:p>
          <a:pPr algn="ctr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REFERÊNCIA: MARÇO/2019</a:t>
          </a:r>
        </a:p>
      </xdr:txBody>
    </xdr:sp>
    <xdr:clientData/>
  </xdr:twoCellAnchor>
  <xdr:twoCellAnchor editAs="oneCell">
    <xdr:from>
      <xdr:col>0</xdr:col>
      <xdr:colOff>66675</xdr:colOff>
      <xdr:row>0</xdr:row>
      <xdr:rowOff>47625</xdr:rowOff>
    </xdr:from>
    <xdr:to>
      <xdr:col>0</xdr:col>
      <xdr:colOff>281610</xdr:colOff>
      <xdr:row>3</xdr:row>
      <xdr:rowOff>0</xdr:rowOff>
    </xdr:to>
    <xdr:pic>
      <xdr:nvPicPr>
        <xdr:cNvPr id="3" name="Imagem 2" descr="1_2_assinaturas_marca_2_reduzida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47625"/>
          <a:ext cx="214935" cy="4381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488039</xdr:colOff>
      <xdr:row>0</xdr:row>
      <xdr:rowOff>57150</xdr:rowOff>
    </xdr:from>
    <xdr:to>
      <xdr:col>7</xdr:col>
      <xdr:colOff>719841</xdr:colOff>
      <xdr:row>2</xdr:row>
      <xdr:rowOff>104775</xdr:rowOff>
    </xdr:to>
    <xdr:pic>
      <xdr:nvPicPr>
        <xdr:cNvPr id="4" name="Imagem 3" descr="pred_home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5789" y="57150"/>
          <a:ext cx="231802" cy="371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ORDENACAO-GERAL-ADMINISTRACAO/GESTAO-INFRA-MATERIAIS/19.%20Engenharia/06.%20APOIO%20ENGENHARIA/OR&#199;AMENTOS%20-%20MATERIAL%20DE%20APOIO/Paran&#225;%20Edifica&#231;&#245;es/PlanilhadeServicosSinteticaDesonerad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FOLHA FECHAMENTO"/>
      <sheetName val="BDI"/>
      <sheetName val="RESUMO"/>
      <sheetName val="PLANILHA_SINTÉTICA"/>
      <sheetName val="SERVIÇOS"/>
      <sheetName val="INSUMOS"/>
      <sheetName val="CURVA ABC"/>
      <sheetName val="CRONOGRAMA"/>
      <sheetName val="COMPOSIÇÕES COMPLEMENTARES "/>
      <sheetName val="COTAÇÕES"/>
      <sheetName val="DECLARAÇÃO"/>
      <sheetName val="PROJETOS RECEBIDOS"/>
      <sheetName val="ENCARGOS SOCIAIS"/>
    </sheetNames>
    <sheetDataSet>
      <sheetData sheetId="0">
        <row r="12">
          <cell r="D12">
            <v>0</v>
          </cell>
        </row>
      </sheetData>
      <sheetData sheetId="1">
        <row r="23">
          <cell r="G23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infraeletrocalhas.com.br/eletrocalhas.asp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10"/>
  <sheetViews>
    <sheetView tabSelected="1" view="pageBreakPreview" zoomScale="85" zoomScaleNormal="85" zoomScaleSheetLayoutView="85" workbookViewId="0">
      <selection activeCell="C6" sqref="C6"/>
    </sheetView>
  </sheetViews>
  <sheetFormatPr defaultRowHeight="15" x14ac:dyDescent="0.25"/>
  <cols>
    <col min="1" max="1" width="8.7109375" style="51" customWidth="1"/>
    <col min="2" max="2" width="66.5703125" customWidth="1"/>
    <col min="3" max="3" width="16.5703125" style="52" customWidth="1"/>
    <col min="4" max="4" width="13" style="52" customWidth="1"/>
    <col min="5" max="5" width="6.28515625" bestFit="1" customWidth="1"/>
    <col min="6" max="6" width="15.28515625" style="256" customWidth="1"/>
    <col min="7" max="7" width="16.140625" style="53" bestFit="1" customWidth="1"/>
    <col min="8" max="8" width="16.5703125" bestFit="1" customWidth="1"/>
    <col min="9" max="9" width="23" customWidth="1"/>
    <col min="11" max="11" width="10.28515625" bestFit="1" customWidth="1"/>
    <col min="13" max="13" width="10.28515625" bestFit="1" customWidth="1"/>
  </cols>
  <sheetData>
    <row r="1" spans="1:11" ht="15.75" thickBot="1" x14ac:dyDescent="0.3">
      <c r="A1" s="418" t="s">
        <v>156</v>
      </c>
      <c r="B1" s="419"/>
      <c r="C1" s="420"/>
      <c r="D1" s="419"/>
      <c r="E1" s="419"/>
      <c r="F1" s="419"/>
      <c r="G1" s="419"/>
      <c r="H1" s="419"/>
      <c r="I1" s="421"/>
    </row>
    <row r="2" spans="1:11" x14ac:dyDescent="0.25">
      <c r="A2" s="59" t="s">
        <v>157</v>
      </c>
      <c r="B2" s="60" t="s">
        <v>158</v>
      </c>
      <c r="C2" s="61"/>
      <c r="D2" s="61"/>
      <c r="E2" s="60"/>
      <c r="F2" s="255"/>
      <c r="G2" s="62"/>
      <c r="H2" s="60"/>
    </row>
    <row r="3" spans="1:11" x14ac:dyDescent="0.25">
      <c r="A3" s="59" t="s">
        <v>159</v>
      </c>
      <c r="B3" s="60" t="s">
        <v>225</v>
      </c>
      <c r="C3" s="61"/>
      <c r="D3" s="61"/>
      <c r="E3" s="60"/>
      <c r="F3" s="255"/>
      <c r="G3" s="62"/>
      <c r="H3" s="60"/>
    </row>
    <row r="4" spans="1:11" x14ac:dyDescent="0.25">
      <c r="A4" s="63"/>
      <c r="B4" s="60"/>
      <c r="C4" s="61"/>
      <c r="D4" s="61"/>
      <c r="E4" s="60"/>
      <c r="F4" s="255"/>
      <c r="G4" s="62"/>
      <c r="H4" s="60"/>
    </row>
    <row r="5" spans="1:11" x14ac:dyDescent="0.25">
      <c r="A5" s="64" t="s">
        <v>160</v>
      </c>
      <c r="B5" s="65"/>
      <c r="C5" s="61"/>
      <c r="D5" s="61"/>
      <c r="E5" s="60"/>
      <c r="H5" s="79" t="s">
        <v>161</v>
      </c>
      <c r="I5" s="66">
        <v>0.28820000000000001</v>
      </c>
    </row>
    <row r="6" spans="1:11" x14ac:dyDescent="0.25">
      <c r="A6" s="63" t="s">
        <v>365</v>
      </c>
      <c r="B6" s="60"/>
      <c r="C6" s="61"/>
      <c r="D6" s="61"/>
      <c r="E6" s="60"/>
      <c r="H6" s="80" t="s">
        <v>162</v>
      </c>
      <c r="I6" s="67">
        <v>0</v>
      </c>
    </row>
    <row r="7" spans="1:11" x14ac:dyDescent="0.25">
      <c r="A7" s="64" t="s">
        <v>163</v>
      </c>
      <c r="B7" s="60"/>
      <c r="C7" s="61"/>
      <c r="D7" s="61"/>
      <c r="E7" s="60"/>
      <c r="H7" s="80" t="s">
        <v>164</v>
      </c>
      <c r="I7" s="68">
        <f ca="1">TODAY()</f>
        <v>44868</v>
      </c>
    </row>
    <row r="8" spans="1:11" x14ac:dyDescent="0.25">
      <c r="A8" s="63" t="s">
        <v>714</v>
      </c>
      <c r="B8" s="60"/>
      <c r="C8" s="61"/>
      <c r="D8" s="61"/>
      <c r="E8" s="60"/>
      <c r="H8" s="80" t="s">
        <v>165</v>
      </c>
      <c r="I8" s="69">
        <v>44805</v>
      </c>
    </row>
    <row r="9" spans="1:11" ht="15.75" thickBot="1" x14ac:dyDescent="0.3">
      <c r="A9" s="70"/>
      <c r="B9" s="60"/>
      <c r="C9" s="61"/>
      <c r="D9" s="61"/>
      <c r="E9" s="60"/>
      <c r="F9" s="255"/>
      <c r="G9" s="62"/>
      <c r="H9" s="60"/>
    </row>
    <row r="10" spans="1:11" s="55" customFormat="1" ht="15.75" thickBot="1" x14ac:dyDescent="0.3">
      <c r="A10" s="409" t="s">
        <v>0</v>
      </c>
      <c r="B10" s="409" t="s">
        <v>1</v>
      </c>
      <c r="C10" s="409" t="s">
        <v>166</v>
      </c>
      <c r="D10" s="409" t="s">
        <v>56</v>
      </c>
      <c r="E10" s="411" t="s">
        <v>167</v>
      </c>
      <c r="F10" s="413" t="s">
        <v>168</v>
      </c>
      <c r="G10" s="415" t="s">
        <v>169</v>
      </c>
      <c r="H10" s="416"/>
      <c r="I10" s="417"/>
    </row>
    <row r="11" spans="1:11" s="55" customFormat="1" ht="15.75" thickBot="1" x14ac:dyDescent="0.3">
      <c r="A11" s="410"/>
      <c r="B11" s="410"/>
      <c r="C11" s="410"/>
      <c r="D11" s="410"/>
      <c r="E11" s="412"/>
      <c r="F11" s="414"/>
      <c r="G11" s="401" t="s">
        <v>170</v>
      </c>
      <c r="H11" s="402" t="s">
        <v>171</v>
      </c>
      <c r="I11" s="402" t="s">
        <v>177</v>
      </c>
    </row>
    <row r="12" spans="1:11" s="55" customFormat="1" ht="15.75" thickBot="1" x14ac:dyDescent="0.3">
      <c r="A12" s="397">
        <v>1</v>
      </c>
      <c r="B12" s="389" t="s">
        <v>562</v>
      </c>
      <c r="C12" s="389"/>
      <c r="D12" s="389"/>
      <c r="E12" s="390"/>
      <c r="F12" s="398"/>
      <c r="G12" s="395"/>
      <c r="H12" s="386"/>
      <c r="I12" s="400"/>
    </row>
    <row r="13" spans="1:11" s="55" customFormat="1" ht="25.5" x14ac:dyDescent="0.25">
      <c r="A13" s="73" t="s">
        <v>288</v>
      </c>
      <c r="B13" s="276" t="s">
        <v>375</v>
      </c>
      <c r="C13" s="277" t="s">
        <v>172</v>
      </c>
      <c r="D13" s="278">
        <v>90777</v>
      </c>
      <c r="E13" s="278" t="s">
        <v>136</v>
      </c>
      <c r="F13" s="279">
        <v>20</v>
      </c>
      <c r="G13" s="280">
        <v>89.58</v>
      </c>
      <c r="H13" s="281">
        <f t="shared" ref="H13:H14" si="0">F13*G13</f>
        <v>1791.6</v>
      </c>
      <c r="I13" s="282">
        <f>H13*(1+$I$5)</f>
        <v>2307.93912</v>
      </c>
      <c r="J13" s="323"/>
      <c r="K13" s="223"/>
    </row>
    <row r="14" spans="1:11" s="55" customFormat="1" ht="15.75" thickBot="1" x14ac:dyDescent="0.3">
      <c r="A14" s="73" t="s">
        <v>721</v>
      </c>
      <c r="B14" s="283" t="s">
        <v>374</v>
      </c>
      <c r="C14" s="284" t="s">
        <v>202</v>
      </c>
      <c r="D14" s="285" t="s">
        <v>561</v>
      </c>
      <c r="E14" s="285" t="s">
        <v>135</v>
      </c>
      <c r="F14" s="286">
        <v>1</v>
      </c>
      <c r="G14" s="287">
        <v>233.9</v>
      </c>
      <c r="H14" s="281">
        <f t="shared" si="0"/>
        <v>233.9</v>
      </c>
      <c r="I14" s="288">
        <f>H14</f>
        <v>233.9</v>
      </c>
      <c r="J14" s="323"/>
    </row>
    <row r="15" spans="1:11" s="81" customFormat="1" ht="26.25" thickBot="1" x14ac:dyDescent="0.3">
      <c r="A15" s="397">
        <v>2</v>
      </c>
      <c r="B15" s="389" t="s">
        <v>573</v>
      </c>
      <c r="C15" s="389"/>
      <c r="D15" s="389"/>
      <c r="E15" s="390"/>
      <c r="F15" s="398"/>
      <c r="G15" s="395"/>
      <c r="H15" s="386"/>
      <c r="I15" s="399"/>
    </row>
    <row r="16" spans="1:11" s="81" customFormat="1" x14ac:dyDescent="0.25">
      <c r="A16" s="73" t="s">
        <v>289</v>
      </c>
      <c r="B16" s="276" t="s">
        <v>500</v>
      </c>
      <c r="C16" s="277" t="s">
        <v>202</v>
      </c>
      <c r="D16" s="278" t="s">
        <v>493</v>
      </c>
      <c r="E16" s="278" t="s">
        <v>135</v>
      </c>
      <c r="F16" s="279">
        <v>3</v>
      </c>
      <c r="G16" s="280">
        <v>159.33000000000001</v>
      </c>
      <c r="H16" s="281">
        <f t="shared" ref="H16" si="1">F16*G16</f>
        <v>477.99</v>
      </c>
      <c r="I16" s="288">
        <f>H16*(1+$I$5)</f>
        <v>615.74671799999999</v>
      </c>
      <c r="J16" s="323"/>
    </row>
    <row r="17" spans="1:10" s="55" customFormat="1" ht="25.5" x14ac:dyDescent="0.25">
      <c r="A17" s="73" t="s">
        <v>510</v>
      </c>
      <c r="B17" s="276" t="s">
        <v>614</v>
      </c>
      <c r="C17" s="277" t="s">
        <v>172</v>
      </c>
      <c r="D17" s="278">
        <v>97624</v>
      </c>
      <c r="E17" s="278" t="s">
        <v>142</v>
      </c>
      <c r="F17" s="279">
        <v>1</v>
      </c>
      <c r="G17" s="280">
        <v>105.09</v>
      </c>
      <c r="H17" s="281">
        <f t="shared" ref="H17:H105" si="2">F17*G17</f>
        <v>105.09</v>
      </c>
      <c r="I17" s="83">
        <f t="shared" ref="I17:I33" si="3">H17*(1+$I$5)</f>
        <v>135.376938</v>
      </c>
      <c r="J17" s="323"/>
    </row>
    <row r="18" spans="1:10" s="55" customFormat="1" ht="25.5" x14ac:dyDescent="0.25">
      <c r="A18" s="73" t="s">
        <v>366</v>
      </c>
      <c r="B18" s="276" t="s">
        <v>616</v>
      </c>
      <c r="C18" s="277" t="s">
        <v>172</v>
      </c>
      <c r="D18" s="278">
        <v>97626</v>
      </c>
      <c r="E18" s="278" t="s">
        <v>142</v>
      </c>
      <c r="F18" s="279">
        <v>1</v>
      </c>
      <c r="G18" s="280">
        <v>600.76</v>
      </c>
      <c r="H18" s="281">
        <f t="shared" ref="H18" si="4">F18*G18</f>
        <v>600.76</v>
      </c>
      <c r="I18" s="83">
        <f t="shared" ref="I18" si="5">H18*(1+$I$5)</f>
        <v>773.89903200000003</v>
      </c>
      <c r="J18" s="323"/>
    </row>
    <row r="19" spans="1:10" s="55" customFormat="1" ht="25.5" x14ac:dyDescent="0.25">
      <c r="A19" s="73" t="s">
        <v>367</v>
      </c>
      <c r="B19" s="283" t="s">
        <v>226</v>
      </c>
      <c r="C19" s="284" t="s">
        <v>172</v>
      </c>
      <c r="D19" s="285">
        <v>97644</v>
      </c>
      <c r="E19" s="285" t="s">
        <v>139</v>
      </c>
      <c r="F19" s="286">
        <v>2</v>
      </c>
      <c r="G19" s="287">
        <v>9.14</v>
      </c>
      <c r="H19" s="281">
        <f t="shared" si="2"/>
        <v>18.28</v>
      </c>
      <c r="I19" s="288">
        <f t="shared" si="3"/>
        <v>23.548296000000001</v>
      </c>
      <c r="J19" s="323"/>
    </row>
    <row r="20" spans="1:10" s="55" customFormat="1" ht="25.5" x14ac:dyDescent="0.25">
      <c r="A20" s="73" t="s">
        <v>511</v>
      </c>
      <c r="B20" s="283" t="s">
        <v>506</v>
      </c>
      <c r="C20" s="284" t="s">
        <v>172</v>
      </c>
      <c r="D20" s="285">
        <v>97645</v>
      </c>
      <c r="E20" s="285" t="s">
        <v>139</v>
      </c>
      <c r="F20" s="286">
        <v>8</v>
      </c>
      <c r="G20" s="287">
        <v>33.82</v>
      </c>
      <c r="H20" s="281">
        <f t="shared" si="2"/>
        <v>270.56</v>
      </c>
      <c r="I20" s="288">
        <f t="shared" si="3"/>
        <v>348.535392</v>
      </c>
      <c r="J20" s="323"/>
    </row>
    <row r="21" spans="1:10" s="55" customFormat="1" ht="25.5" x14ac:dyDescent="0.25">
      <c r="A21" s="73" t="s">
        <v>512</v>
      </c>
      <c r="B21" s="283" t="s">
        <v>507</v>
      </c>
      <c r="C21" s="284" t="s">
        <v>172</v>
      </c>
      <c r="D21" s="285">
        <v>97660</v>
      </c>
      <c r="E21" s="285" t="s">
        <v>135</v>
      </c>
      <c r="F21" s="286">
        <v>31</v>
      </c>
      <c r="G21" s="287">
        <v>0.65</v>
      </c>
      <c r="H21" s="281">
        <f t="shared" si="2"/>
        <v>20.150000000000002</v>
      </c>
      <c r="I21" s="288">
        <f t="shared" si="3"/>
        <v>25.957230000000003</v>
      </c>
      <c r="J21" s="323"/>
    </row>
    <row r="22" spans="1:10" s="55" customFormat="1" ht="25.5" x14ac:dyDescent="0.25">
      <c r="A22" s="73" t="s">
        <v>513</v>
      </c>
      <c r="B22" s="283" t="s">
        <v>508</v>
      </c>
      <c r="C22" s="285" t="s">
        <v>172</v>
      </c>
      <c r="D22" s="285">
        <v>97661</v>
      </c>
      <c r="E22" s="285" t="s">
        <v>133</v>
      </c>
      <c r="F22" s="286">
        <v>1300</v>
      </c>
      <c r="G22" s="287">
        <v>0.66</v>
      </c>
      <c r="H22" s="281">
        <f t="shared" si="2"/>
        <v>858</v>
      </c>
      <c r="I22" s="288">
        <f t="shared" si="3"/>
        <v>1105.2755999999999</v>
      </c>
      <c r="J22" s="323"/>
    </row>
    <row r="23" spans="1:10" s="55" customFormat="1" ht="25.5" x14ac:dyDescent="0.25">
      <c r="A23" s="73" t="s">
        <v>368</v>
      </c>
      <c r="B23" s="283" t="s">
        <v>509</v>
      </c>
      <c r="C23" s="285" t="s">
        <v>172</v>
      </c>
      <c r="D23" s="285">
        <v>97665</v>
      </c>
      <c r="E23" s="285" t="s">
        <v>135</v>
      </c>
      <c r="F23" s="286">
        <v>5</v>
      </c>
      <c r="G23" s="287">
        <v>1.27</v>
      </c>
      <c r="H23" s="281">
        <f t="shared" si="2"/>
        <v>6.35</v>
      </c>
      <c r="I23" s="288">
        <f t="shared" si="3"/>
        <v>8.1800699999999988</v>
      </c>
      <c r="J23" s="323"/>
    </row>
    <row r="24" spans="1:10" s="55" customFormat="1" ht="25.5" x14ac:dyDescent="0.25">
      <c r="A24" s="73" t="s">
        <v>369</v>
      </c>
      <c r="B24" s="283" t="s">
        <v>567</v>
      </c>
      <c r="C24" s="285" t="s">
        <v>172</v>
      </c>
      <c r="D24" s="285">
        <v>97631</v>
      </c>
      <c r="E24" s="285" t="s">
        <v>139</v>
      </c>
      <c r="F24" s="286">
        <v>96</v>
      </c>
      <c r="G24" s="287">
        <v>3.28</v>
      </c>
      <c r="H24" s="281">
        <f t="shared" si="2"/>
        <v>314.88</v>
      </c>
      <c r="I24" s="288">
        <f t="shared" si="3"/>
        <v>405.62841600000002</v>
      </c>
      <c r="J24" s="323"/>
    </row>
    <row r="25" spans="1:10" s="55" customFormat="1" ht="25.5" x14ac:dyDescent="0.25">
      <c r="A25" s="73" t="s">
        <v>370</v>
      </c>
      <c r="B25" s="283" t="s">
        <v>568</v>
      </c>
      <c r="C25" s="285" t="s">
        <v>172</v>
      </c>
      <c r="D25" s="285">
        <v>97633</v>
      </c>
      <c r="E25" s="285" t="s">
        <v>139</v>
      </c>
      <c r="F25" s="286">
        <v>96</v>
      </c>
      <c r="G25" s="287">
        <v>22.4</v>
      </c>
      <c r="H25" s="281">
        <f t="shared" si="2"/>
        <v>2150.3999999999996</v>
      </c>
      <c r="I25" s="288">
        <f t="shared" si="3"/>
        <v>2770.1452799999997</v>
      </c>
      <c r="J25" s="323"/>
    </row>
    <row r="26" spans="1:10" s="55" customFormat="1" ht="25.5" x14ac:dyDescent="0.25">
      <c r="A26" s="73" t="s">
        <v>371</v>
      </c>
      <c r="B26" s="283" t="s">
        <v>570</v>
      </c>
      <c r="C26" s="284" t="s">
        <v>172</v>
      </c>
      <c r="D26" s="285">
        <v>90436</v>
      </c>
      <c r="E26" s="285" t="s">
        <v>135</v>
      </c>
      <c r="F26" s="286">
        <v>10</v>
      </c>
      <c r="G26" s="287">
        <v>15.05</v>
      </c>
      <c r="H26" s="281">
        <f t="shared" si="2"/>
        <v>150.5</v>
      </c>
      <c r="I26" s="288">
        <f t="shared" si="3"/>
        <v>193.8741</v>
      </c>
      <c r="J26" s="323"/>
    </row>
    <row r="27" spans="1:10" s="55" customFormat="1" ht="25.5" x14ac:dyDescent="0.25">
      <c r="A27" s="73" t="s">
        <v>372</v>
      </c>
      <c r="B27" s="283" t="s">
        <v>569</v>
      </c>
      <c r="C27" s="284" t="s">
        <v>172</v>
      </c>
      <c r="D27" s="285">
        <v>90437</v>
      </c>
      <c r="E27" s="285" t="s">
        <v>135</v>
      </c>
      <c r="F27" s="286">
        <v>2</v>
      </c>
      <c r="G27" s="287">
        <v>36.57</v>
      </c>
      <c r="H27" s="281">
        <f t="shared" ref="H27" si="6">F27*G27</f>
        <v>73.14</v>
      </c>
      <c r="I27" s="288">
        <f t="shared" ref="I27" si="7">H27*(1+$I$5)</f>
        <v>94.218947999999997</v>
      </c>
      <c r="J27" s="323"/>
    </row>
    <row r="28" spans="1:10" s="55" customFormat="1" ht="25.5" x14ac:dyDescent="0.25">
      <c r="A28" s="73" t="s">
        <v>578</v>
      </c>
      <c r="B28" s="283" t="s">
        <v>268</v>
      </c>
      <c r="C28" s="284" t="s">
        <v>172</v>
      </c>
      <c r="D28" s="285">
        <v>90443</v>
      </c>
      <c r="E28" s="285" t="s">
        <v>133</v>
      </c>
      <c r="F28" s="286">
        <v>17</v>
      </c>
      <c r="G28" s="287">
        <v>13.68</v>
      </c>
      <c r="H28" s="281">
        <f t="shared" si="2"/>
        <v>232.56</v>
      </c>
      <c r="I28" s="288">
        <f t="shared" si="3"/>
        <v>299.58379200000002</v>
      </c>
      <c r="J28" s="323"/>
    </row>
    <row r="29" spans="1:10" s="55" customFormat="1" ht="25.5" x14ac:dyDescent="0.25">
      <c r="A29" s="73" t="s">
        <v>579</v>
      </c>
      <c r="B29" s="283" t="s">
        <v>571</v>
      </c>
      <c r="C29" s="284" t="s">
        <v>172</v>
      </c>
      <c r="D29" s="285">
        <v>90444</v>
      </c>
      <c r="E29" s="285" t="s">
        <v>133</v>
      </c>
      <c r="F29" s="286">
        <v>1</v>
      </c>
      <c r="G29" s="287">
        <v>27.46</v>
      </c>
      <c r="H29" s="281">
        <f t="shared" si="2"/>
        <v>27.46</v>
      </c>
      <c r="I29" s="288">
        <f t="shared" si="3"/>
        <v>35.373972000000002</v>
      </c>
      <c r="J29" s="323"/>
    </row>
    <row r="30" spans="1:10" s="55" customFormat="1" ht="38.25" x14ac:dyDescent="0.25">
      <c r="A30" s="73" t="s">
        <v>580</v>
      </c>
      <c r="B30" s="283" t="s">
        <v>572</v>
      </c>
      <c r="C30" s="284" t="s">
        <v>172</v>
      </c>
      <c r="D30" s="285">
        <v>90445</v>
      </c>
      <c r="E30" s="285" t="s">
        <v>133</v>
      </c>
      <c r="F30" s="286">
        <v>2.1</v>
      </c>
      <c r="G30" s="287">
        <v>29.31</v>
      </c>
      <c r="H30" s="281">
        <f t="shared" si="2"/>
        <v>61.551000000000002</v>
      </c>
      <c r="I30" s="288">
        <f t="shared" si="3"/>
        <v>79.289998199999999</v>
      </c>
      <c r="J30" s="323"/>
    </row>
    <row r="31" spans="1:10" s="55" customFormat="1" ht="25.5" x14ac:dyDescent="0.25">
      <c r="A31" s="73" t="s">
        <v>581</v>
      </c>
      <c r="B31" s="283" t="s">
        <v>269</v>
      </c>
      <c r="C31" s="284" t="s">
        <v>172</v>
      </c>
      <c r="D31" s="285">
        <v>90446</v>
      </c>
      <c r="E31" s="285" t="s">
        <v>133</v>
      </c>
      <c r="F31" s="286">
        <v>1.5</v>
      </c>
      <c r="G31" s="287">
        <v>31.84</v>
      </c>
      <c r="H31" s="281">
        <f>F31*G31</f>
        <v>47.76</v>
      </c>
      <c r="I31" s="288">
        <f>H31*(1+$I$5)</f>
        <v>61.524431999999997</v>
      </c>
      <c r="J31" s="323"/>
    </row>
    <row r="32" spans="1:10" s="55" customFormat="1" ht="25.5" x14ac:dyDescent="0.25">
      <c r="A32" s="73" t="s">
        <v>582</v>
      </c>
      <c r="B32" s="283" t="s">
        <v>270</v>
      </c>
      <c r="C32" s="284" t="s">
        <v>172</v>
      </c>
      <c r="D32" s="285">
        <v>93358</v>
      </c>
      <c r="E32" s="285" t="s">
        <v>142</v>
      </c>
      <c r="F32" s="286">
        <v>22.71</v>
      </c>
      <c r="G32" s="287">
        <v>84.53</v>
      </c>
      <c r="H32" s="281">
        <f t="shared" si="2"/>
        <v>1919.6763000000001</v>
      </c>
      <c r="I32" s="288">
        <f t="shared" si="3"/>
        <v>2472.9270096600003</v>
      </c>
      <c r="J32" s="323"/>
    </row>
    <row r="33" spans="1:13" s="55" customFormat="1" ht="26.25" thickBot="1" x14ac:dyDescent="0.3">
      <c r="A33" s="73" t="s">
        <v>617</v>
      </c>
      <c r="B33" s="317" t="s">
        <v>271</v>
      </c>
      <c r="C33" s="296" t="s">
        <v>172</v>
      </c>
      <c r="D33" s="319">
        <v>93382</v>
      </c>
      <c r="E33" s="319" t="s">
        <v>142</v>
      </c>
      <c r="F33" s="406">
        <v>22.71</v>
      </c>
      <c r="G33" s="299">
        <v>32.25</v>
      </c>
      <c r="H33" s="294">
        <f t="shared" si="2"/>
        <v>732.39750000000004</v>
      </c>
      <c r="I33" s="305">
        <f t="shared" si="3"/>
        <v>943.47445950000008</v>
      </c>
      <c r="J33" s="323"/>
    </row>
    <row r="34" spans="1:13" s="56" customFormat="1" ht="15.75" thickBot="1" x14ac:dyDescent="0.3">
      <c r="A34" s="382">
        <v>3</v>
      </c>
      <c r="B34" s="388" t="s">
        <v>235</v>
      </c>
      <c r="C34" s="389"/>
      <c r="D34" s="389"/>
      <c r="E34" s="390"/>
      <c r="F34" s="391"/>
      <c r="G34" s="385"/>
      <c r="H34" s="392"/>
      <c r="I34" s="393"/>
    </row>
    <row r="35" spans="1:13" s="56" customFormat="1" ht="25.5" x14ac:dyDescent="0.25">
      <c r="A35" s="274" t="s">
        <v>290</v>
      </c>
      <c r="B35" s="289" t="s">
        <v>236</v>
      </c>
      <c r="C35" s="290" t="s">
        <v>172</v>
      </c>
      <c r="D35" s="290">
        <v>96622</v>
      </c>
      <c r="E35" s="291" t="s">
        <v>142</v>
      </c>
      <c r="F35" s="292">
        <v>20</v>
      </c>
      <c r="G35" s="293">
        <v>110.91</v>
      </c>
      <c r="H35" s="294">
        <f t="shared" ref="H35" si="8">F35*G35</f>
        <v>2218.1999999999998</v>
      </c>
      <c r="I35" s="83">
        <f t="shared" ref="I35:I41" si="9">H35*(1+$I$5)</f>
        <v>2857.48524</v>
      </c>
      <c r="J35" s="323"/>
    </row>
    <row r="36" spans="1:13" s="56" customFormat="1" ht="51" x14ac:dyDescent="0.25">
      <c r="A36" s="273" t="s">
        <v>291</v>
      </c>
      <c r="B36" s="295" t="s">
        <v>609</v>
      </c>
      <c r="C36" s="296" t="s">
        <v>172</v>
      </c>
      <c r="D36" s="296">
        <v>101820</v>
      </c>
      <c r="E36" s="297" t="s">
        <v>139</v>
      </c>
      <c r="F36" s="298">
        <v>6</v>
      </c>
      <c r="G36" s="299">
        <v>39.119999999999997</v>
      </c>
      <c r="H36" s="300">
        <f t="shared" ref="H36" si="10">F36*G36</f>
        <v>234.71999999999997</v>
      </c>
      <c r="I36" s="288">
        <f t="shared" ref="I36" si="11">H36*(1+$I$5)</f>
        <v>302.36630399999996</v>
      </c>
      <c r="J36" s="323"/>
    </row>
    <row r="37" spans="1:13" s="56" customFormat="1" ht="63.75" x14ac:dyDescent="0.25">
      <c r="A37" s="273" t="s">
        <v>292</v>
      </c>
      <c r="B37" s="295" t="s">
        <v>608</v>
      </c>
      <c r="C37" s="296" t="s">
        <v>172</v>
      </c>
      <c r="D37" s="296">
        <v>94277</v>
      </c>
      <c r="E37" s="297" t="s">
        <v>133</v>
      </c>
      <c r="F37" s="298">
        <v>2</v>
      </c>
      <c r="G37" s="299">
        <v>39.6</v>
      </c>
      <c r="H37" s="300">
        <f t="shared" ref="H37" si="12">F37*G37</f>
        <v>79.2</v>
      </c>
      <c r="I37" s="288">
        <f t="shared" ref="I37" si="13">H37*(1+$I$5)</f>
        <v>102.02544</v>
      </c>
      <c r="J37" s="323"/>
    </row>
    <row r="38" spans="1:13" s="56" customFormat="1" ht="38.25" x14ac:dyDescent="0.25">
      <c r="A38" s="273" t="s">
        <v>293</v>
      </c>
      <c r="B38" s="272" t="s">
        <v>376</v>
      </c>
      <c r="C38" s="284" t="s">
        <v>172</v>
      </c>
      <c r="D38" s="284">
        <v>94992</v>
      </c>
      <c r="E38" s="301" t="s">
        <v>139</v>
      </c>
      <c r="F38" s="302">
        <v>72</v>
      </c>
      <c r="G38" s="287">
        <v>82.46</v>
      </c>
      <c r="H38" s="303">
        <f t="shared" ref="H38:H40" si="14">F38*G38</f>
        <v>5937.12</v>
      </c>
      <c r="I38" s="288">
        <f t="shared" si="9"/>
        <v>7648.1979840000004</v>
      </c>
      <c r="J38" s="323"/>
    </row>
    <row r="39" spans="1:13" s="56" customFormat="1" ht="25.5" x14ac:dyDescent="0.25">
      <c r="A39" s="273" t="s">
        <v>294</v>
      </c>
      <c r="B39" s="295" t="s">
        <v>377</v>
      </c>
      <c r="C39" s="296" t="s">
        <v>172</v>
      </c>
      <c r="D39" s="296">
        <v>102989</v>
      </c>
      <c r="E39" s="297" t="s">
        <v>133</v>
      </c>
      <c r="F39" s="298">
        <v>46</v>
      </c>
      <c r="G39" s="299">
        <v>24.39</v>
      </c>
      <c r="H39" s="303">
        <f t="shared" si="14"/>
        <v>1121.94</v>
      </c>
      <c r="I39" s="288">
        <f t="shared" si="9"/>
        <v>1445.2831080000001</v>
      </c>
      <c r="J39" s="323"/>
    </row>
    <row r="40" spans="1:13" s="56" customFormat="1" x14ac:dyDescent="0.25">
      <c r="A40" s="273" t="s">
        <v>610</v>
      </c>
      <c r="B40" s="295" t="s">
        <v>523</v>
      </c>
      <c r="C40" s="296" t="s">
        <v>202</v>
      </c>
      <c r="D40" s="296" t="s">
        <v>521</v>
      </c>
      <c r="E40" s="297" t="s">
        <v>139</v>
      </c>
      <c r="F40" s="298">
        <v>37</v>
      </c>
      <c r="G40" s="299">
        <v>417.63</v>
      </c>
      <c r="H40" s="300">
        <f t="shared" si="14"/>
        <v>15452.31</v>
      </c>
      <c r="I40" s="288">
        <f t="shared" si="9"/>
        <v>19905.665742000001</v>
      </c>
      <c r="J40" s="323"/>
    </row>
    <row r="41" spans="1:13" s="56" customFormat="1" ht="26.25" thickBot="1" x14ac:dyDescent="0.3">
      <c r="A41" s="275" t="s">
        <v>611</v>
      </c>
      <c r="B41" s="295" t="s">
        <v>514</v>
      </c>
      <c r="C41" s="296" t="s">
        <v>202</v>
      </c>
      <c r="D41" s="319" t="s">
        <v>515</v>
      </c>
      <c r="E41" s="297" t="s">
        <v>139</v>
      </c>
      <c r="F41" s="298">
        <v>24</v>
      </c>
      <c r="G41" s="299">
        <v>328.99</v>
      </c>
      <c r="H41" s="300">
        <f t="shared" si="2"/>
        <v>7895.76</v>
      </c>
      <c r="I41" s="305">
        <f t="shared" si="9"/>
        <v>10171.318032000001</v>
      </c>
      <c r="J41" s="323"/>
      <c r="M41" s="224"/>
    </row>
    <row r="42" spans="1:13" s="56" customFormat="1" ht="15.75" thickBot="1" x14ac:dyDescent="0.3">
      <c r="A42" s="397">
        <v>4</v>
      </c>
      <c r="B42" s="389" t="s">
        <v>173</v>
      </c>
      <c r="C42" s="389"/>
      <c r="D42" s="389"/>
      <c r="E42" s="390"/>
      <c r="F42" s="384"/>
      <c r="G42" s="385"/>
      <c r="H42" s="392"/>
      <c r="I42" s="393"/>
    </row>
    <row r="43" spans="1:13" s="56" customFormat="1" ht="15.75" thickBot="1" x14ac:dyDescent="0.3">
      <c r="A43" s="397" t="s">
        <v>295</v>
      </c>
      <c r="B43" s="389" t="s">
        <v>555</v>
      </c>
      <c r="C43" s="389"/>
      <c r="D43" s="389"/>
      <c r="E43" s="390"/>
      <c r="F43" s="384"/>
      <c r="G43" s="385"/>
      <c r="H43" s="392"/>
      <c r="I43" s="393"/>
    </row>
    <row r="44" spans="1:13" s="56" customFormat="1" ht="51" x14ac:dyDescent="0.25">
      <c r="A44" s="73" t="s">
        <v>384</v>
      </c>
      <c r="B44" s="276" t="s">
        <v>228</v>
      </c>
      <c r="C44" s="277" t="s">
        <v>172</v>
      </c>
      <c r="D44" s="278">
        <v>90791</v>
      </c>
      <c r="E44" s="278" t="s">
        <v>135</v>
      </c>
      <c r="F44" s="279">
        <v>4</v>
      </c>
      <c r="G44" s="280">
        <v>946.91</v>
      </c>
      <c r="H44" s="281">
        <f t="shared" si="2"/>
        <v>3787.64</v>
      </c>
      <c r="I44" s="83">
        <f t="shared" ref="I44:I49" si="15">H44*(1+$I$5)</f>
        <v>4879.2378479999998</v>
      </c>
      <c r="J44" s="323"/>
    </row>
    <row r="45" spans="1:13" s="56" customFormat="1" ht="51" x14ac:dyDescent="0.25">
      <c r="A45" s="73" t="s">
        <v>385</v>
      </c>
      <c r="B45" s="276" t="s">
        <v>467</v>
      </c>
      <c r="C45" s="277" t="s">
        <v>172</v>
      </c>
      <c r="D45" s="278">
        <v>90793</v>
      </c>
      <c r="E45" s="278" t="s">
        <v>135</v>
      </c>
      <c r="F45" s="279">
        <v>1</v>
      </c>
      <c r="G45" s="280">
        <v>1000.29</v>
      </c>
      <c r="H45" s="281">
        <f t="shared" si="2"/>
        <v>1000.29</v>
      </c>
      <c r="I45" s="288">
        <f t="shared" si="15"/>
        <v>1288.573578</v>
      </c>
      <c r="J45" s="323"/>
    </row>
    <row r="46" spans="1:13" ht="51" x14ac:dyDescent="0.25">
      <c r="A46" s="73" t="s">
        <v>386</v>
      </c>
      <c r="B46" s="272" t="s">
        <v>141</v>
      </c>
      <c r="C46" s="284" t="s">
        <v>172</v>
      </c>
      <c r="D46" s="284">
        <v>94570</v>
      </c>
      <c r="E46" s="301" t="s">
        <v>139</v>
      </c>
      <c r="F46" s="251">
        <v>8</v>
      </c>
      <c r="G46" s="287">
        <v>458.3</v>
      </c>
      <c r="H46" s="281">
        <f t="shared" si="2"/>
        <v>3666.4</v>
      </c>
      <c r="I46" s="288">
        <f t="shared" si="15"/>
        <v>4723.0564800000002</v>
      </c>
      <c r="J46" s="323"/>
    </row>
    <row r="47" spans="1:13" ht="25.5" x14ac:dyDescent="0.25">
      <c r="A47" s="73" t="s">
        <v>387</v>
      </c>
      <c r="B47" s="272" t="s">
        <v>230</v>
      </c>
      <c r="C47" s="284" t="s">
        <v>172</v>
      </c>
      <c r="D47" s="284">
        <v>94589</v>
      </c>
      <c r="E47" s="301" t="s">
        <v>133</v>
      </c>
      <c r="F47" s="251">
        <v>35</v>
      </c>
      <c r="G47" s="287">
        <v>24.29</v>
      </c>
      <c r="H47" s="281">
        <f t="shared" si="2"/>
        <v>850.15</v>
      </c>
      <c r="I47" s="288">
        <f t="shared" si="15"/>
        <v>1095.1632299999999</v>
      </c>
      <c r="J47" s="323"/>
    </row>
    <row r="48" spans="1:13" ht="38.25" x14ac:dyDescent="0.25">
      <c r="A48" s="73" t="s">
        <v>388</v>
      </c>
      <c r="B48" s="272" t="s">
        <v>229</v>
      </c>
      <c r="C48" s="284" t="s">
        <v>172</v>
      </c>
      <c r="D48" s="284">
        <v>94569</v>
      </c>
      <c r="E48" s="301" t="s">
        <v>139</v>
      </c>
      <c r="F48" s="251">
        <v>1</v>
      </c>
      <c r="G48" s="287">
        <v>875.89</v>
      </c>
      <c r="H48" s="281">
        <f t="shared" si="2"/>
        <v>875.89</v>
      </c>
      <c r="I48" s="288">
        <f t="shared" si="15"/>
        <v>1128.321498</v>
      </c>
      <c r="J48" s="323"/>
    </row>
    <row r="49" spans="1:10" ht="15.75" thickBot="1" x14ac:dyDescent="0.3">
      <c r="A49" s="73" t="s">
        <v>468</v>
      </c>
      <c r="B49" s="295" t="s">
        <v>219</v>
      </c>
      <c r="C49" s="296" t="s">
        <v>172</v>
      </c>
      <c r="D49" s="296">
        <v>98688</v>
      </c>
      <c r="E49" s="297" t="s">
        <v>133</v>
      </c>
      <c r="F49" s="304">
        <v>82</v>
      </c>
      <c r="G49" s="299">
        <v>55.12</v>
      </c>
      <c r="H49" s="294">
        <f>F49*G49</f>
        <v>4519.84</v>
      </c>
      <c r="I49" s="305">
        <f t="shared" si="15"/>
        <v>5822.4578879999999</v>
      </c>
      <c r="J49" s="323"/>
    </row>
    <row r="50" spans="1:10" ht="15.75" thickBot="1" x14ac:dyDescent="0.3">
      <c r="A50" s="74" t="s">
        <v>296</v>
      </c>
      <c r="B50" s="75" t="s">
        <v>556</v>
      </c>
      <c r="C50" s="75"/>
      <c r="D50" s="75"/>
      <c r="E50" s="76"/>
      <c r="F50" s="403"/>
      <c r="G50" s="404"/>
      <c r="H50" s="405"/>
      <c r="I50" s="254"/>
    </row>
    <row r="51" spans="1:10" ht="25.5" x14ac:dyDescent="0.25">
      <c r="A51" s="73" t="s">
        <v>408</v>
      </c>
      <c r="B51" s="271" t="s">
        <v>379</v>
      </c>
      <c r="C51" s="277" t="s">
        <v>172</v>
      </c>
      <c r="D51" s="277">
        <v>96112</v>
      </c>
      <c r="E51" s="306" t="s">
        <v>139</v>
      </c>
      <c r="F51" s="270">
        <v>54</v>
      </c>
      <c r="G51" s="280">
        <v>160.24</v>
      </c>
      <c r="H51" s="281">
        <f>F51*G51</f>
        <v>8652.9600000000009</v>
      </c>
      <c r="I51" s="83">
        <f>H51*(1+$I$5)</f>
        <v>11146.743072000001</v>
      </c>
      <c r="J51" s="323"/>
    </row>
    <row r="52" spans="1:10" ht="25.5" x14ac:dyDescent="0.25">
      <c r="A52" s="73" t="s">
        <v>409</v>
      </c>
      <c r="B52" s="289" t="s">
        <v>380</v>
      </c>
      <c r="C52" s="290" t="s">
        <v>172</v>
      </c>
      <c r="D52" s="290">
        <v>96122</v>
      </c>
      <c r="E52" s="291" t="s">
        <v>133</v>
      </c>
      <c r="F52" s="307">
        <v>66</v>
      </c>
      <c r="G52" s="293">
        <v>51.97</v>
      </c>
      <c r="H52" s="294">
        <f>F52*G52</f>
        <v>3430.02</v>
      </c>
      <c r="I52" s="308">
        <f>H52*(1+$I$5)</f>
        <v>4418.5517639999998</v>
      </c>
      <c r="J52" s="323"/>
    </row>
    <row r="53" spans="1:10" ht="25.5" x14ac:dyDescent="0.25">
      <c r="A53" s="73" t="s">
        <v>618</v>
      </c>
      <c r="B53" s="272" t="s">
        <v>620</v>
      </c>
      <c r="C53" s="284" t="s">
        <v>134</v>
      </c>
      <c r="D53" s="284">
        <v>3993</v>
      </c>
      <c r="E53" s="301" t="s">
        <v>139</v>
      </c>
      <c r="F53" s="251">
        <v>2</v>
      </c>
      <c r="G53" s="287">
        <v>158.02000000000001</v>
      </c>
      <c r="H53" s="309">
        <f>F53*G53</f>
        <v>316.04000000000002</v>
      </c>
      <c r="I53" s="288">
        <f>H53*(1+$I$5)</f>
        <v>407.12272800000005</v>
      </c>
      <c r="J53" s="323"/>
    </row>
    <row r="54" spans="1:10" ht="26.25" thickBot="1" x14ac:dyDescent="0.3">
      <c r="A54" s="73" t="s">
        <v>619</v>
      </c>
      <c r="B54" s="272" t="s">
        <v>621</v>
      </c>
      <c r="C54" s="284" t="s">
        <v>134</v>
      </c>
      <c r="D54" s="284">
        <v>4433</v>
      </c>
      <c r="E54" s="301" t="s">
        <v>133</v>
      </c>
      <c r="F54" s="251">
        <v>6</v>
      </c>
      <c r="G54" s="287">
        <v>33.83</v>
      </c>
      <c r="H54" s="309">
        <f>F54*G54</f>
        <v>202.98</v>
      </c>
      <c r="I54" s="288">
        <f>H54*(1+$I$5)</f>
        <v>261.478836</v>
      </c>
      <c r="J54" s="323"/>
    </row>
    <row r="55" spans="1:10" ht="26.25" thickBot="1" x14ac:dyDescent="0.3">
      <c r="A55" s="397" t="s">
        <v>297</v>
      </c>
      <c r="B55" s="389" t="s">
        <v>563</v>
      </c>
      <c r="C55" s="389"/>
      <c r="D55" s="389"/>
      <c r="E55" s="390"/>
      <c r="F55" s="384"/>
      <c r="G55" s="385"/>
      <c r="H55" s="392"/>
      <c r="I55" s="393"/>
    </row>
    <row r="56" spans="1:10" ht="25.5" x14ac:dyDescent="0.25">
      <c r="A56" s="73" t="s">
        <v>399</v>
      </c>
      <c r="B56" s="271" t="s">
        <v>565</v>
      </c>
      <c r="C56" s="277" t="s">
        <v>172</v>
      </c>
      <c r="D56" s="277">
        <v>98555</v>
      </c>
      <c r="E56" s="306" t="s">
        <v>139</v>
      </c>
      <c r="F56" s="270">
        <v>58</v>
      </c>
      <c r="G56" s="280">
        <v>26.57</v>
      </c>
      <c r="H56" s="281">
        <f t="shared" ref="H56:H58" si="16">F56*G56</f>
        <v>1541.06</v>
      </c>
      <c r="I56" s="288">
        <f t="shared" ref="I56:I58" si="17">H56*(1+$I$5)</f>
        <v>1985.1934919999999</v>
      </c>
      <c r="J56" s="323"/>
    </row>
    <row r="57" spans="1:10" ht="51" x14ac:dyDescent="0.25">
      <c r="A57" s="73" t="s">
        <v>400</v>
      </c>
      <c r="B57" s="271" t="s">
        <v>752</v>
      </c>
      <c r="C57" s="277" t="s">
        <v>172</v>
      </c>
      <c r="D57" s="277">
        <v>87273</v>
      </c>
      <c r="E57" s="306" t="s">
        <v>139</v>
      </c>
      <c r="F57" s="270">
        <v>35</v>
      </c>
      <c r="G57" s="280">
        <v>69.290000000000006</v>
      </c>
      <c r="H57" s="281">
        <f t="shared" ref="H57" si="18">F57*G57</f>
        <v>2425.15</v>
      </c>
      <c r="I57" s="83">
        <f t="shared" ref="I57" si="19">H57*(1+$I$5)</f>
        <v>3124.0782300000001</v>
      </c>
      <c r="J57" s="323"/>
    </row>
    <row r="58" spans="1:10" ht="25.5" x14ac:dyDescent="0.25">
      <c r="A58" s="73" t="s">
        <v>401</v>
      </c>
      <c r="B58" s="271" t="s">
        <v>566</v>
      </c>
      <c r="C58" s="277" t="s">
        <v>172</v>
      </c>
      <c r="D58" s="277">
        <v>93204</v>
      </c>
      <c r="E58" s="306" t="s">
        <v>133</v>
      </c>
      <c r="F58" s="270">
        <v>22</v>
      </c>
      <c r="G58" s="280">
        <v>70.709999999999994</v>
      </c>
      <c r="H58" s="281">
        <f t="shared" si="16"/>
        <v>1555.62</v>
      </c>
      <c r="I58" s="83">
        <f t="shared" si="17"/>
        <v>2003.9496839999999</v>
      </c>
      <c r="J58" s="323"/>
    </row>
    <row r="59" spans="1:10" ht="38.25" x14ac:dyDescent="0.25">
      <c r="A59" s="73" t="s">
        <v>402</v>
      </c>
      <c r="B59" s="271" t="s">
        <v>378</v>
      </c>
      <c r="C59" s="277" t="s">
        <v>172</v>
      </c>
      <c r="D59" s="277">
        <v>101159</v>
      </c>
      <c r="E59" s="306" t="s">
        <v>139</v>
      </c>
      <c r="F59" s="270">
        <v>47</v>
      </c>
      <c r="G59" s="280">
        <v>136.88</v>
      </c>
      <c r="H59" s="281">
        <f t="shared" si="2"/>
        <v>6433.36</v>
      </c>
      <c r="I59" s="83">
        <f t="shared" ref="I59:I71" si="20">H59*(1+$I$5)</f>
        <v>8287.4543519999988</v>
      </c>
      <c r="J59" s="323"/>
    </row>
    <row r="60" spans="1:10" ht="38.25" x14ac:dyDescent="0.25">
      <c r="A60" s="73" t="s">
        <v>403</v>
      </c>
      <c r="B60" s="271" t="s">
        <v>526</v>
      </c>
      <c r="C60" s="277" t="s">
        <v>172</v>
      </c>
      <c r="D60" s="277">
        <v>103318</v>
      </c>
      <c r="E60" s="306" t="s">
        <v>139</v>
      </c>
      <c r="F60" s="270">
        <v>3.5</v>
      </c>
      <c r="G60" s="280">
        <v>85.39</v>
      </c>
      <c r="H60" s="281">
        <f t="shared" si="2"/>
        <v>298.86500000000001</v>
      </c>
      <c r="I60" s="83">
        <f t="shared" si="20"/>
        <v>384.99789300000003</v>
      </c>
      <c r="J60" s="323"/>
    </row>
    <row r="61" spans="1:10" ht="38.25" x14ac:dyDescent="0.25">
      <c r="A61" s="73" t="s">
        <v>404</v>
      </c>
      <c r="B61" s="272" t="s">
        <v>528</v>
      </c>
      <c r="C61" s="284" t="s">
        <v>172</v>
      </c>
      <c r="D61" s="284">
        <v>103682</v>
      </c>
      <c r="E61" s="301" t="s">
        <v>142</v>
      </c>
      <c r="F61" s="251">
        <v>0.5</v>
      </c>
      <c r="G61" s="287">
        <v>829.9</v>
      </c>
      <c r="H61" s="281">
        <f t="shared" si="2"/>
        <v>414.95</v>
      </c>
      <c r="I61" s="288">
        <f t="shared" si="20"/>
        <v>534.53859</v>
      </c>
      <c r="J61" s="323"/>
    </row>
    <row r="62" spans="1:10" ht="51" x14ac:dyDescent="0.25">
      <c r="A62" s="73" t="s">
        <v>405</v>
      </c>
      <c r="B62" s="272" t="s">
        <v>231</v>
      </c>
      <c r="C62" s="284" t="s">
        <v>172</v>
      </c>
      <c r="D62" s="284">
        <v>87905</v>
      </c>
      <c r="E62" s="301" t="s">
        <v>139</v>
      </c>
      <c r="F62" s="251">
        <v>135</v>
      </c>
      <c r="G62" s="287">
        <v>8.9499999999999993</v>
      </c>
      <c r="H62" s="281">
        <f t="shared" si="2"/>
        <v>1208.25</v>
      </c>
      <c r="I62" s="288">
        <f t="shared" si="20"/>
        <v>1556.46765</v>
      </c>
      <c r="J62" s="323"/>
    </row>
    <row r="63" spans="1:10" ht="51" x14ac:dyDescent="0.25">
      <c r="A63" s="73" t="s">
        <v>406</v>
      </c>
      <c r="B63" s="272" t="s">
        <v>232</v>
      </c>
      <c r="C63" s="284" t="s">
        <v>172</v>
      </c>
      <c r="D63" s="284">
        <v>87775</v>
      </c>
      <c r="E63" s="301" t="s">
        <v>139</v>
      </c>
      <c r="F63" s="251">
        <v>145</v>
      </c>
      <c r="G63" s="287">
        <v>50.59</v>
      </c>
      <c r="H63" s="281">
        <f t="shared" si="2"/>
        <v>7335.55</v>
      </c>
      <c r="I63" s="288">
        <f t="shared" si="20"/>
        <v>9449.6555100000005</v>
      </c>
      <c r="J63" s="323"/>
    </row>
    <row r="64" spans="1:10" ht="51" x14ac:dyDescent="0.25">
      <c r="A64" s="73" t="s">
        <v>407</v>
      </c>
      <c r="B64" s="272" t="s">
        <v>615</v>
      </c>
      <c r="C64" s="284" t="s">
        <v>172</v>
      </c>
      <c r="D64" s="284">
        <v>87700</v>
      </c>
      <c r="E64" s="301" t="s">
        <v>139</v>
      </c>
      <c r="F64" s="251">
        <v>72</v>
      </c>
      <c r="G64" s="287">
        <v>46.69</v>
      </c>
      <c r="H64" s="281">
        <f t="shared" si="2"/>
        <v>3361.68</v>
      </c>
      <c r="I64" s="288">
        <f t="shared" si="20"/>
        <v>4330.5161760000001</v>
      </c>
      <c r="J64" s="323"/>
    </row>
    <row r="65" spans="1:10" ht="38.25" x14ac:dyDescent="0.25">
      <c r="A65" s="73" t="s">
        <v>527</v>
      </c>
      <c r="B65" s="272" t="s">
        <v>575</v>
      </c>
      <c r="C65" s="284" t="s">
        <v>172</v>
      </c>
      <c r="D65" s="284">
        <v>90468</v>
      </c>
      <c r="E65" s="301" t="s">
        <v>133</v>
      </c>
      <c r="F65" s="251">
        <v>0.7</v>
      </c>
      <c r="G65" s="287">
        <v>5.93</v>
      </c>
      <c r="H65" s="281">
        <f t="shared" ref="H65:H66" si="21">F65*G65</f>
        <v>4.1509999999999998</v>
      </c>
      <c r="I65" s="288">
        <f t="shared" ref="I65:I66" si="22">H65*(1+$I$5)</f>
        <v>5.3473182000000001</v>
      </c>
      <c r="J65" s="323"/>
    </row>
    <row r="66" spans="1:10" ht="38.25" x14ac:dyDescent="0.25">
      <c r="A66" s="73" t="s">
        <v>529</v>
      </c>
      <c r="B66" s="272" t="s">
        <v>576</v>
      </c>
      <c r="C66" s="284" t="s">
        <v>172</v>
      </c>
      <c r="D66" s="284">
        <v>90469</v>
      </c>
      <c r="E66" s="301" t="s">
        <v>133</v>
      </c>
      <c r="F66" s="251">
        <v>2</v>
      </c>
      <c r="G66" s="287">
        <v>9.49</v>
      </c>
      <c r="H66" s="281">
        <f t="shared" si="21"/>
        <v>18.98</v>
      </c>
      <c r="I66" s="288">
        <f t="shared" si="22"/>
        <v>24.450036000000001</v>
      </c>
      <c r="J66" s="323"/>
    </row>
    <row r="67" spans="1:10" s="55" customFormat="1" ht="38.25" x14ac:dyDescent="0.25">
      <c r="A67" s="73" t="s">
        <v>583</v>
      </c>
      <c r="B67" s="283" t="s">
        <v>577</v>
      </c>
      <c r="C67" s="284" t="s">
        <v>172</v>
      </c>
      <c r="D67" s="285">
        <v>90470</v>
      </c>
      <c r="E67" s="285" t="s">
        <v>133</v>
      </c>
      <c r="F67" s="286">
        <v>3</v>
      </c>
      <c r="G67" s="287">
        <v>13.02</v>
      </c>
      <c r="H67" s="281">
        <f t="shared" si="2"/>
        <v>39.06</v>
      </c>
      <c r="I67" s="288">
        <f t="shared" si="20"/>
        <v>50.317092000000002</v>
      </c>
      <c r="J67" s="323"/>
    </row>
    <row r="68" spans="1:10" s="55" customFormat="1" ht="25.5" x14ac:dyDescent="0.25">
      <c r="A68" s="73" t="s">
        <v>584</v>
      </c>
      <c r="B68" s="283" t="s">
        <v>574</v>
      </c>
      <c r="C68" s="284" t="s">
        <v>172</v>
      </c>
      <c r="D68" s="285">
        <v>90466</v>
      </c>
      <c r="E68" s="285" t="s">
        <v>133</v>
      </c>
      <c r="F68" s="407">
        <v>5</v>
      </c>
      <c r="G68" s="287">
        <v>13.59</v>
      </c>
      <c r="H68" s="281">
        <f t="shared" si="2"/>
        <v>67.95</v>
      </c>
      <c r="I68" s="288">
        <f t="shared" si="20"/>
        <v>87.533190000000005</v>
      </c>
      <c r="J68" s="323"/>
    </row>
    <row r="69" spans="1:10" ht="25.5" x14ac:dyDescent="0.25">
      <c r="A69" s="73" t="s">
        <v>585</v>
      </c>
      <c r="B69" s="272" t="s">
        <v>233</v>
      </c>
      <c r="C69" s="284" t="s">
        <v>172</v>
      </c>
      <c r="D69" s="284">
        <v>102488</v>
      </c>
      <c r="E69" s="301" t="s">
        <v>139</v>
      </c>
      <c r="F69" s="251">
        <v>72</v>
      </c>
      <c r="G69" s="287">
        <v>3.57</v>
      </c>
      <c r="H69" s="281">
        <f t="shared" si="2"/>
        <v>257.03999999999996</v>
      </c>
      <c r="I69" s="288">
        <f t="shared" si="20"/>
        <v>331.11892799999998</v>
      </c>
      <c r="J69" s="323"/>
    </row>
    <row r="70" spans="1:10" ht="38.25" x14ac:dyDescent="0.25">
      <c r="A70" s="73" t="s">
        <v>586</v>
      </c>
      <c r="B70" s="295" t="s">
        <v>381</v>
      </c>
      <c r="C70" s="296" t="s">
        <v>172</v>
      </c>
      <c r="D70" s="296">
        <v>96366</v>
      </c>
      <c r="E70" s="297" t="s">
        <v>139</v>
      </c>
      <c r="F70" s="304">
        <v>28.8</v>
      </c>
      <c r="G70" s="299">
        <v>152.59</v>
      </c>
      <c r="H70" s="281">
        <f>F70*G70</f>
        <v>4394.5920000000006</v>
      </c>
      <c r="I70" s="288">
        <f t="shared" si="20"/>
        <v>5661.1134144000007</v>
      </c>
      <c r="J70" s="323"/>
    </row>
    <row r="71" spans="1:10" ht="26.25" thickBot="1" x14ac:dyDescent="0.3">
      <c r="A71" s="73" t="s">
        <v>753</v>
      </c>
      <c r="B71" s="295" t="s">
        <v>469</v>
      </c>
      <c r="C71" s="296" t="s">
        <v>134</v>
      </c>
      <c r="D71" s="296">
        <v>39412</v>
      </c>
      <c r="E71" s="297" t="s">
        <v>139</v>
      </c>
      <c r="F71" s="304">
        <v>21</v>
      </c>
      <c r="G71" s="299">
        <v>18.05</v>
      </c>
      <c r="H71" s="294">
        <f>F71*G71</f>
        <v>379.05</v>
      </c>
      <c r="I71" s="305">
        <f t="shared" si="20"/>
        <v>488.29221000000001</v>
      </c>
      <c r="J71" s="323"/>
    </row>
    <row r="72" spans="1:10" ht="15.75" thickBot="1" x14ac:dyDescent="0.3">
      <c r="A72" s="397" t="s">
        <v>298</v>
      </c>
      <c r="B72" s="389" t="s">
        <v>557</v>
      </c>
      <c r="C72" s="389"/>
      <c r="D72" s="389"/>
      <c r="E72" s="390"/>
      <c r="F72" s="384"/>
      <c r="G72" s="385"/>
      <c r="H72" s="392"/>
      <c r="I72" s="393"/>
    </row>
    <row r="73" spans="1:10" ht="25.5" x14ac:dyDescent="0.25">
      <c r="A73" s="73" t="s">
        <v>392</v>
      </c>
      <c r="B73" s="271" t="s">
        <v>234</v>
      </c>
      <c r="C73" s="277" t="s">
        <v>172</v>
      </c>
      <c r="D73" s="277">
        <v>102494</v>
      </c>
      <c r="E73" s="306" t="s">
        <v>139</v>
      </c>
      <c r="F73" s="270">
        <v>72</v>
      </c>
      <c r="G73" s="280">
        <v>58.03</v>
      </c>
      <c r="H73" s="281">
        <f t="shared" si="2"/>
        <v>4178.16</v>
      </c>
      <c r="I73" s="83">
        <f t="shared" ref="I73:I79" si="23">H73*(1+$I$5)</f>
        <v>5382.3057120000003</v>
      </c>
      <c r="J73" s="323"/>
    </row>
    <row r="74" spans="1:10" ht="25.5" x14ac:dyDescent="0.25">
      <c r="A74" s="73" t="s">
        <v>393</v>
      </c>
      <c r="B74" s="272" t="s">
        <v>144</v>
      </c>
      <c r="C74" s="284" t="s">
        <v>172</v>
      </c>
      <c r="D74" s="284">
        <v>88497</v>
      </c>
      <c r="E74" s="301" t="s">
        <v>139</v>
      </c>
      <c r="F74" s="251">
        <v>137</v>
      </c>
      <c r="G74" s="287">
        <v>19.489999999999998</v>
      </c>
      <c r="H74" s="281">
        <f t="shared" si="2"/>
        <v>2670.1299999999997</v>
      </c>
      <c r="I74" s="288">
        <f t="shared" si="23"/>
        <v>3439.6614659999996</v>
      </c>
      <c r="J74" s="323"/>
    </row>
    <row r="75" spans="1:10" ht="25.5" x14ac:dyDescent="0.25">
      <c r="A75" s="73" t="s">
        <v>394</v>
      </c>
      <c r="B75" s="272" t="s">
        <v>143</v>
      </c>
      <c r="C75" s="284" t="s">
        <v>172</v>
      </c>
      <c r="D75" s="284">
        <v>88489</v>
      </c>
      <c r="E75" s="301" t="s">
        <v>139</v>
      </c>
      <c r="F75" s="251">
        <v>137</v>
      </c>
      <c r="G75" s="287">
        <v>15.61</v>
      </c>
      <c r="H75" s="281">
        <f t="shared" si="2"/>
        <v>2138.5699999999997</v>
      </c>
      <c r="I75" s="288">
        <f t="shared" si="23"/>
        <v>2754.9058739999996</v>
      </c>
      <c r="J75" s="323"/>
    </row>
    <row r="76" spans="1:10" ht="25.5" x14ac:dyDescent="0.25">
      <c r="A76" s="73" t="s">
        <v>395</v>
      </c>
      <c r="B76" s="272" t="s">
        <v>494</v>
      </c>
      <c r="C76" s="284" t="s">
        <v>196</v>
      </c>
      <c r="D76" s="284" t="s">
        <v>740</v>
      </c>
      <c r="E76" s="301" t="s">
        <v>139</v>
      </c>
      <c r="F76" s="251">
        <v>75</v>
      </c>
      <c r="G76" s="287">
        <v>19.39</v>
      </c>
      <c r="H76" s="281">
        <f t="shared" si="2"/>
        <v>1454.25</v>
      </c>
      <c r="I76" s="288">
        <f t="shared" si="23"/>
        <v>1873.3648499999999</v>
      </c>
      <c r="J76" s="323"/>
    </row>
    <row r="77" spans="1:10" ht="25.5" x14ac:dyDescent="0.25">
      <c r="A77" s="73" t="s">
        <v>396</v>
      </c>
      <c r="B77" s="272" t="s">
        <v>359</v>
      </c>
      <c r="C77" s="284" t="s">
        <v>172</v>
      </c>
      <c r="D77" s="284">
        <v>102193</v>
      </c>
      <c r="E77" s="301" t="s">
        <v>139</v>
      </c>
      <c r="F77" s="251">
        <v>30</v>
      </c>
      <c r="G77" s="287">
        <v>2.2400000000000002</v>
      </c>
      <c r="H77" s="281">
        <f t="shared" si="2"/>
        <v>67.2</v>
      </c>
      <c r="I77" s="288">
        <f t="shared" si="23"/>
        <v>86.567040000000006</v>
      </c>
      <c r="J77" s="323"/>
    </row>
    <row r="78" spans="1:10" ht="25.5" x14ac:dyDescent="0.25">
      <c r="A78" s="73" t="s">
        <v>397</v>
      </c>
      <c r="B78" s="272" t="s">
        <v>383</v>
      </c>
      <c r="C78" s="284" t="s">
        <v>172</v>
      </c>
      <c r="D78" s="284">
        <v>102213</v>
      </c>
      <c r="E78" s="301" t="s">
        <v>139</v>
      </c>
      <c r="F78" s="251">
        <v>30</v>
      </c>
      <c r="G78" s="287">
        <v>19.45</v>
      </c>
      <c r="H78" s="281">
        <f t="shared" si="2"/>
        <v>583.5</v>
      </c>
      <c r="I78" s="288">
        <f t="shared" si="23"/>
        <v>751.66470000000004</v>
      </c>
      <c r="J78" s="323"/>
    </row>
    <row r="79" spans="1:10" ht="26.25" thickBot="1" x14ac:dyDescent="0.3">
      <c r="A79" s="73" t="s">
        <v>398</v>
      </c>
      <c r="B79" s="272" t="s">
        <v>382</v>
      </c>
      <c r="C79" s="284" t="s">
        <v>172</v>
      </c>
      <c r="D79" s="284">
        <v>102217</v>
      </c>
      <c r="E79" s="301" t="s">
        <v>139</v>
      </c>
      <c r="F79" s="251">
        <v>3.4</v>
      </c>
      <c r="G79" s="287">
        <v>16.48</v>
      </c>
      <c r="H79" s="281">
        <f t="shared" si="2"/>
        <v>56.031999999999996</v>
      </c>
      <c r="I79" s="288">
        <f t="shared" si="23"/>
        <v>72.180422399999998</v>
      </c>
      <c r="J79" s="323"/>
    </row>
    <row r="80" spans="1:10" s="54" customFormat="1" ht="15.75" thickBot="1" x14ac:dyDescent="0.3">
      <c r="A80" s="397" t="s">
        <v>373</v>
      </c>
      <c r="B80" s="389" t="s">
        <v>558</v>
      </c>
      <c r="C80" s="389"/>
      <c r="D80" s="389"/>
      <c r="E80" s="390"/>
      <c r="F80" s="384"/>
      <c r="G80" s="385"/>
      <c r="H80" s="392"/>
      <c r="I80" s="393"/>
    </row>
    <row r="81" spans="1:10" s="54" customFormat="1" ht="25.5" x14ac:dyDescent="0.25">
      <c r="A81" s="73" t="s">
        <v>389</v>
      </c>
      <c r="B81" s="271" t="s">
        <v>464</v>
      </c>
      <c r="C81" s="277" t="s">
        <v>172</v>
      </c>
      <c r="D81" s="277">
        <v>100868</v>
      </c>
      <c r="E81" s="306" t="s">
        <v>135</v>
      </c>
      <c r="F81" s="270">
        <v>2</v>
      </c>
      <c r="G81" s="280">
        <v>331.77</v>
      </c>
      <c r="H81" s="281">
        <f t="shared" si="2"/>
        <v>663.54</v>
      </c>
      <c r="I81" s="288">
        <f>H81*(1+$I$5)</f>
        <v>854.77222799999993</v>
      </c>
      <c r="J81" s="323"/>
    </row>
    <row r="82" spans="1:10" s="54" customFormat="1" ht="25.5" x14ac:dyDescent="0.25">
      <c r="A82" s="73" t="s">
        <v>390</v>
      </c>
      <c r="B82" s="272" t="s">
        <v>465</v>
      </c>
      <c r="C82" s="284" t="s">
        <v>172</v>
      </c>
      <c r="D82" s="284">
        <v>100867</v>
      </c>
      <c r="E82" s="301" t="s">
        <v>135</v>
      </c>
      <c r="F82" s="251">
        <v>1</v>
      </c>
      <c r="G82" s="287">
        <v>318.88</v>
      </c>
      <c r="H82" s="281">
        <f t="shared" si="2"/>
        <v>318.88</v>
      </c>
      <c r="I82" s="288">
        <f>H82*(1+$I$5)</f>
        <v>410.78121599999997</v>
      </c>
      <c r="J82" s="323"/>
    </row>
    <row r="83" spans="1:10" s="54" customFormat="1" ht="25.5" x14ac:dyDescent="0.25">
      <c r="A83" s="73" t="s">
        <v>391</v>
      </c>
      <c r="B83" s="272" t="s">
        <v>498</v>
      </c>
      <c r="C83" s="284" t="s">
        <v>172</v>
      </c>
      <c r="D83" s="284">
        <v>100874</v>
      </c>
      <c r="E83" s="301" t="s">
        <v>135</v>
      </c>
      <c r="F83" s="251">
        <v>1</v>
      </c>
      <c r="G83" s="287">
        <v>299.52</v>
      </c>
      <c r="H83" s="281">
        <f t="shared" si="2"/>
        <v>299.52</v>
      </c>
      <c r="I83" s="288">
        <f>H83*(1+$I$5)</f>
        <v>385.84166399999998</v>
      </c>
      <c r="J83" s="323"/>
    </row>
    <row r="84" spans="1:10" s="54" customFormat="1" ht="15.75" thickBot="1" x14ac:dyDescent="0.3">
      <c r="A84" s="73" t="s">
        <v>466</v>
      </c>
      <c r="B84" s="295" t="s">
        <v>499</v>
      </c>
      <c r="C84" s="296" t="s">
        <v>134</v>
      </c>
      <c r="D84" s="296">
        <v>11186</v>
      </c>
      <c r="E84" s="297" t="s">
        <v>139</v>
      </c>
      <c r="F84" s="304">
        <v>1</v>
      </c>
      <c r="G84" s="299">
        <v>487.33</v>
      </c>
      <c r="H84" s="300">
        <f t="shared" si="2"/>
        <v>487.33</v>
      </c>
      <c r="I84" s="305">
        <f>H84*(1+$I$5)</f>
        <v>627.77850599999999</v>
      </c>
      <c r="J84" s="323"/>
    </row>
    <row r="85" spans="1:10" ht="15.75" thickBot="1" x14ac:dyDescent="0.3">
      <c r="A85" s="382">
        <v>5</v>
      </c>
      <c r="B85" s="388" t="s">
        <v>227</v>
      </c>
      <c r="C85" s="389"/>
      <c r="D85" s="389"/>
      <c r="E85" s="390"/>
      <c r="F85" s="394"/>
      <c r="G85" s="395"/>
      <c r="H85" s="396"/>
      <c r="I85" s="393"/>
    </row>
    <row r="86" spans="1:10" s="71" customFormat="1" ht="38.25" x14ac:dyDescent="0.25">
      <c r="A86" s="77" t="s">
        <v>299</v>
      </c>
      <c r="B86" s="276" t="s">
        <v>145</v>
      </c>
      <c r="C86" s="277" t="s">
        <v>172</v>
      </c>
      <c r="D86" s="277">
        <v>86911</v>
      </c>
      <c r="E86" s="306" t="s">
        <v>135</v>
      </c>
      <c r="F86" s="310">
        <v>1</v>
      </c>
      <c r="G86" s="280">
        <v>66.849999999999994</v>
      </c>
      <c r="H86" s="281">
        <f t="shared" si="2"/>
        <v>66.849999999999994</v>
      </c>
      <c r="I86" s="83">
        <f t="shared" ref="I86:I117" si="24">H86*(1+$I$5)</f>
        <v>86.116169999999997</v>
      </c>
      <c r="J86" s="323"/>
    </row>
    <row r="87" spans="1:10" s="71" customFormat="1" ht="25.5" x14ac:dyDescent="0.25">
      <c r="A87" s="77" t="s">
        <v>604</v>
      </c>
      <c r="B87" s="276" t="s">
        <v>491</v>
      </c>
      <c r="C87" s="284" t="s">
        <v>196</v>
      </c>
      <c r="D87" s="284" t="s">
        <v>739</v>
      </c>
      <c r="E87" s="301" t="s">
        <v>135</v>
      </c>
      <c r="F87" s="302">
        <v>1</v>
      </c>
      <c r="G87" s="287">
        <v>472.65</v>
      </c>
      <c r="H87" s="281">
        <f t="shared" si="2"/>
        <v>472.65</v>
      </c>
      <c r="I87" s="288">
        <f t="shared" si="24"/>
        <v>608.86772999999994</v>
      </c>
      <c r="J87" s="323"/>
    </row>
    <row r="88" spans="1:10" s="71" customFormat="1" ht="25.5" x14ac:dyDescent="0.25">
      <c r="A88" s="77" t="s">
        <v>300</v>
      </c>
      <c r="B88" s="283" t="s">
        <v>240</v>
      </c>
      <c r="C88" s="284" t="s">
        <v>172</v>
      </c>
      <c r="D88" s="284">
        <v>86902</v>
      </c>
      <c r="E88" s="301" t="s">
        <v>135</v>
      </c>
      <c r="F88" s="302">
        <v>1</v>
      </c>
      <c r="G88" s="287">
        <v>293.16000000000003</v>
      </c>
      <c r="H88" s="281">
        <f t="shared" si="2"/>
        <v>293.16000000000003</v>
      </c>
      <c r="I88" s="288">
        <f t="shared" si="24"/>
        <v>377.64871200000005</v>
      </c>
      <c r="J88" s="323"/>
    </row>
    <row r="89" spans="1:10" s="71" customFormat="1" ht="25.5" x14ac:dyDescent="0.25">
      <c r="A89" s="77" t="s">
        <v>301</v>
      </c>
      <c r="B89" s="272" t="s">
        <v>148</v>
      </c>
      <c r="C89" s="284" t="s">
        <v>172</v>
      </c>
      <c r="D89" s="284">
        <v>86884</v>
      </c>
      <c r="E89" s="301" t="s">
        <v>135</v>
      </c>
      <c r="F89" s="302">
        <v>1</v>
      </c>
      <c r="G89" s="287">
        <v>10.77</v>
      </c>
      <c r="H89" s="281">
        <f t="shared" si="2"/>
        <v>10.77</v>
      </c>
      <c r="I89" s="288">
        <f t="shared" si="24"/>
        <v>13.873913999999999</v>
      </c>
      <c r="J89" s="323"/>
    </row>
    <row r="90" spans="1:10" s="71" customFormat="1" ht="25.5" x14ac:dyDescent="0.25">
      <c r="A90" s="77" t="s">
        <v>302</v>
      </c>
      <c r="B90" s="272" t="s">
        <v>149</v>
      </c>
      <c r="C90" s="284" t="s">
        <v>172</v>
      </c>
      <c r="D90" s="284">
        <v>86883</v>
      </c>
      <c r="E90" s="301" t="s">
        <v>135</v>
      </c>
      <c r="F90" s="302">
        <v>2</v>
      </c>
      <c r="G90" s="287">
        <v>12.14</v>
      </c>
      <c r="H90" s="281">
        <f t="shared" si="2"/>
        <v>24.28</v>
      </c>
      <c r="I90" s="288">
        <f t="shared" si="24"/>
        <v>31.277496000000003</v>
      </c>
      <c r="J90" s="323"/>
    </row>
    <row r="91" spans="1:10" s="71" customFormat="1" ht="25.5" x14ac:dyDescent="0.25">
      <c r="A91" s="77" t="s">
        <v>303</v>
      </c>
      <c r="B91" s="272" t="s">
        <v>238</v>
      </c>
      <c r="C91" s="284" t="s">
        <v>172</v>
      </c>
      <c r="D91" s="284">
        <v>89356</v>
      </c>
      <c r="E91" s="301" t="s">
        <v>133</v>
      </c>
      <c r="F91" s="302">
        <v>34</v>
      </c>
      <c r="G91" s="287">
        <v>23.55</v>
      </c>
      <c r="H91" s="281">
        <f t="shared" si="2"/>
        <v>800.7</v>
      </c>
      <c r="I91" s="288">
        <f t="shared" si="24"/>
        <v>1031.46174</v>
      </c>
      <c r="J91" s="323"/>
    </row>
    <row r="92" spans="1:10" s="71" customFormat="1" ht="25.5" x14ac:dyDescent="0.25">
      <c r="A92" s="77" t="s">
        <v>304</v>
      </c>
      <c r="B92" s="272" t="s">
        <v>239</v>
      </c>
      <c r="C92" s="284" t="s">
        <v>172</v>
      </c>
      <c r="D92" s="284">
        <v>89395</v>
      </c>
      <c r="E92" s="301" t="s">
        <v>135</v>
      </c>
      <c r="F92" s="302">
        <v>3</v>
      </c>
      <c r="G92" s="287">
        <v>13.37</v>
      </c>
      <c r="H92" s="281">
        <f t="shared" si="2"/>
        <v>40.11</v>
      </c>
      <c r="I92" s="288">
        <f t="shared" si="24"/>
        <v>51.669702000000001</v>
      </c>
      <c r="J92" s="323"/>
    </row>
    <row r="93" spans="1:10" s="71" customFormat="1" ht="38.25" x14ac:dyDescent="0.25">
      <c r="A93" s="77" t="s">
        <v>305</v>
      </c>
      <c r="B93" s="272" t="s">
        <v>237</v>
      </c>
      <c r="C93" s="284" t="s">
        <v>172</v>
      </c>
      <c r="D93" s="284">
        <v>89362</v>
      </c>
      <c r="E93" s="301" t="s">
        <v>135</v>
      </c>
      <c r="F93" s="302">
        <v>5</v>
      </c>
      <c r="G93" s="287">
        <v>9.65</v>
      </c>
      <c r="H93" s="281">
        <f t="shared" si="2"/>
        <v>48.25</v>
      </c>
      <c r="I93" s="288">
        <f t="shared" si="24"/>
        <v>62.155650000000001</v>
      </c>
      <c r="J93" s="323"/>
    </row>
    <row r="94" spans="1:10" s="71" customFormat="1" ht="38.25" x14ac:dyDescent="0.25">
      <c r="A94" s="77" t="s">
        <v>306</v>
      </c>
      <c r="B94" s="272" t="s">
        <v>241</v>
      </c>
      <c r="C94" s="284" t="s">
        <v>172</v>
      </c>
      <c r="D94" s="284">
        <v>89366</v>
      </c>
      <c r="E94" s="301" t="s">
        <v>135</v>
      </c>
      <c r="F94" s="302">
        <v>4</v>
      </c>
      <c r="G94" s="287">
        <v>16.829999999999998</v>
      </c>
      <c r="H94" s="281">
        <f t="shared" si="2"/>
        <v>67.319999999999993</v>
      </c>
      <c r="I94" s="288">
        <f t="shared" si="24"/>
        <v>86.721623999999991</v>
      </c>
      <c r="J94" s="323"/>
    </row>
    <row r="95" spans="1:10" s="71" customFormat="1" ht="25.5" x14ac:dyDescent="0.25">
      <c r="A95" s="77" t="s">
        <v>307</v>
      </c>
      <c r="B95" s="272" t="s">
        <v>242</v>
      </c>
      <c r="C95" s="284" t="s">
        <v>172</v>
      </c>
      <c r="D95" s="284">
        <v>94489</v>
      </c>
      <c r="E95" s="301" t="s">
        <v>135</v>
      </c>
      <c r="F95" s="302">
        <v>3</v>
      </c>
      <c r="G95" s="287">
        <v>32.54</v>
      </c>
      <c r="H95" s="281">
        <f t="shared" si="2"/>
        <v>97.62</v>
      </c>
      <c r="I95" s="288">
        <f t="shared" si="24"/>
        <v>125.75408400000001</v>
      </c>
      <c r="J95" s="323"/>
    </row>
    <row r="96" spans="1:10" s="71" customFormat="1" ht="38.25" x14ac:dyDescent="0.25">
      <c r="A96" s="77" t="s">
        <v>308</v>
      </c>
      <c r="B96" s="272" t="s">
        <v>243</v>
      </c>
      <c r="C96" s="284" t="s">
        <v>172</v>
      </c>
      <c r="D96" s="284">
        <v>89972</v>
      </c>
      <c r="E96" s="301" t="s">
        <v>135</v>
      </c>
      <c r="F96" s="302">
        <v>3</v>
      </c>
      <c r="G96" s="287">
        <v>53.82</v>
      </c>
      <c r="H96" s="281">
        <f t="shared" si="2"/>
        <v>161.46</v>
      </c>
      <c r="I96" s="288">
        <f t="shared" si="24"/>
        <v>207.992772</v>
      </c>
      <c r="J96" s="323"/>
    </row>
    <row r="97" spans="1:10" s="71" customFormat="1" ht="25.5" x14ac:dyDescent="0.25">
      <c r="A97" s="77" t="s">
        <v>309</v>
      </c>
      <c r="B97" s="272" t="s">
        <v>587</v>
      </c>
      <c r="C97" s="284" t="s">
        <v>196</v>
      </c>
      <c r="D97" s="284" t="s">
        <v>681</v>
      </c>
      <c r="E97" s="301" t="s">
        <v>135</v>
      </c>
      <c r="F97" s="302">
        <v>1</v>
      </c>
      <c r="G97" s="287">
        <v>246.27</v>
      </c>
      <c r="H97" s="281">
        <f t="shared" si="2"/>
        <v>246.27</v>
      </c>
      <c r="I97" s="288">
        <f t="shared" si="24"/>
        <v>317.24501400000003</v>
      </c>
      <c r="J97" s="323"/>
    </row>
    <row r="98" spans="1:10" s="71" customFormat="1" ht="25.5" x14ac:dyDescent="0.25">
      <c r="A98" s="77" t="s">
        <v>310</v>
      </c>
      <c r="B98" s="272" t="s">
        <v>363</v>
      </c>
      <c r="C98" s="284" t="s">
        <v>172</v>
      </c>
      <c r="D98" s="284">
        <v>94796</v>
      </c>
      <c r="E98" s="301" t="s">
        <v>135</v>
      </c>
      <c r="F98" s="302">
        <v>1</v>
      </c>
      <c r="G98" s="287">
        <v>40.46</v>
      </c>
      <c r="H98" s="281">
        <f t="shared" si="2"/>
        <v>40.46</v>
      </c>
      <c r="I98" s="288">
        <f t="shared" si="24"/>
        <v>52.120572000000003</v>
      </c>
      <c r="J98" s="323"/>
    </row>
    <row r="99" spans="1:10" s="71" customFormat="1" ht="51" x14ac:dyDescent="0.25">
      <c r="A99" s="77" t="s">
        <v>311</v>
      </c>
      <c r="B99" s="272" t="s">
        <v>364</v>
      </c>
      <c r="C99" s="284" t="s">
        <v>172</v>
      </c>
      <c r="D99" s="284">
        <v>94703</v>
      </c>
      <c r="E99" s="301" t="s">
        <v>135</v>
      </c>
      <c r="F99" s="302">
        <v>4</v>
      </c>
      <c r="G99" s="287">
        <v>22.28</v>
      </c>
      <c r="H99" s="281">
        <f t="shared" si="2"/>
        <v>89.12</v>
      </c>
      <c r="I99" s="288">
        <f t="shared" si="24"/>
        <v>114.80438400000001</v>
      </c>
      <c r="J99" s="323"/>
    </row>
    <row r="100" spans="1:10" s="71" customFormat="1" ht="38.25" x14ac:dyDescent="0.25">
      <c r="A100" s="77" t="s">
        <v>312</v>
      </c>
      <c r="B100" s="272" t="s">
        <v>594</v>
      </c>
      <c r="C100" s="284" t="s">
        <v>172</v>
      </c>
      <c r="D100" s="284">
        <v>86932</v>
      </c>
      <c r="E100" s="301" t="s">
        <v>135</v>
      </c>
      <c r="F100" s="302">
        <v>1</v>
      </c>
      <c r="G100" s="287">
        <v>563.33000000000004</v>
      </c>
      <c r="H100" s="281">
        <f t="shared" si="2"/>
        <v>563.33000000000004</v>
      </c>
      <c r="I100" s="288">
        <f t="shared" si="24"/>
        <v>725.68170600000008</v>
      </c>
      <c r="J100" s="323"/>
    </row>
    <row r="101" spans="1:10" s="71" customFormat="1" ht="38.25" x14ac:dyDescent="0.25">
      <c r="A101" s="77" t="s">
        <v>313</v>
      </c>
      <c r="B101" s="272" t="s">
        <v>244</v>
      </c>
      <c r="C101" s="284" t="s">
        <v>172</v>
      </c>
      <c r="D101" s="284">
        <v>89707</v>
      </c>
      <c r="E101" s="301" t="s">
        <v>135</v>
      </c>
      <c r="F101" s="302">
        <v>1</v>
      </c>
      <c r="G101" s="287">
        <v>45.34</v>
      </c>
      <c r="H101" s="281">
        <f t="shared" si="2"/>
        <v>45.34</v>
      </c>
      <c r="I101" s="288">
        <f t="shared" si="24"/>
        <v>58.406988000000005</v>
      </c>
      <c r="J101" s="323"/>
    </row>
    <row r="102" spans="1:10" s="71" customFormat="1" ht="25.5" x14ac:dyDescent="0.25">
      <c r="A102" s="77" t="s">
        <v>314</v>
      </c>
      <c r="B102" s="272" t="s">
        <v>245</v>
      </c>
      <c r="C102" s="284" t="s">
        <v>172</v>
      </c>
      <c r="D102" s="284">
        <v>98110</v>
      </c>
      <c r="E102" s="301" t="s">
        <v>135</v>
      </c>
      <c r="F102" s="302">
        <v>1</v>
      </c>
      <c r="G102" s="287">
        <v>327.17</v>
      </c>
      <c r="H102" s="281">
        <f t="shared" si="2"/>
        <v>327.17</v>
      </c>
      <c r="I102" s="288">
        <f t="shared" si="24"/>
        <v>421.46039400000001</v>
      </c>
      <c r="J102" s="323"/>
    </row>
    <row r="103" spans="1:10" s="71" customFormat="1" ht="25.5" x14ac:dyDescent="0.25">
      <c r="A103" s="77" t="s">
        <v>315</v>
      </c>
      <c r="B103" s="272" t="s">
        <v>255</v>
      </c>
      <c r="C103" s="284" t="s">
        <v>196</v>
      </c>
      <c r="D103" s="284" t="s">
        <v>602</v>
      </c>
      <c r="E103" s="301" t="s">
        <v>135</v>
      </c>
      <c r="F103" s="302">
        <v>1</v>
      </c>
      <c r="G103" s="287">
        <v>14.43</v>
      </c>
      <c r="H103" s="281">
        <f t="shared" si="2"/>
        <v>14.43</v>
      </c>
      <c r="I103" s="288">
        <f t="shared" si="24"/>
        <v>18.588726000000001</v>
      </c>
      <c r="J103" s="323"/>
    </row>
    <row r="104" spans="1:10" s="71" customFormat="1" ht="25.5" x14ac:dyDescent="0.25">
      <c r="A104" s="77" t="s">
        <v>316</v>
      </c>
      <c r="B104" s="272" t="s">
        <v>256</v>
      </c>
      <c r="C104" s="284" t="s">
        <v>196</v>
      </c>
      <c r="D104" s="284" t="s">
        <v>736</v>
      </c>
      <c r="E104" s="301" t="s">
        <v>135</v>
      </c>
      <c r="F104" s="302">
        <v>1</v>
      </c>
      <c r="G104" s="287">
        <v>16.559999999999999</v>
      </c>
      <c r="H104" s="281">
        <f t="shared" si="2"/>
        <v>16.559999999999999</v>
      </c>
      <c r="I104" s="288">
        <f t="shared" si="24"/>
        <v>21.332591999999998</v>
      </c>
      <c r="J104" s="323"/>
    </row>
    <row r="105" spans="1:10" s="71" customFormat="1" ht="38.25" x14ac:dyDescent="0.25">
      <c r="A105" s="77" t="s">
        <v>317</v>
      </c>
      <c r="B105" s="272" t="s">
        <v>260</v>
      </c>
      <c r="C105" s="284" t="s">
        <v>172</v>
      </c>
      <c r="D105" s="284">
        <v>89714</v>
      </c>
      <c r="E105" s="301" t="s">
        <v>133</v>
      </c>
      <c r="F105" s="302">
        <v>15</v>
      </c>
      <c r="G105" s="287">
        <v>39.799999999999997</v>
      </c>
      <c r="H105" s="281">
        <f t="shared" si="2"/>
        <v>597</v>
      </c>
      <c r="I105" s="288">
        <f t="shared" si="24"/>
        <v>769.05539999999996</v>
      </c>
      <c r="J105" s="323"/>
    </row>
    <row r="106" spans="1:10" s="71" customFormat="1" ht="38.25" x14ac:dyDescent="0.25">
      <c r="A106" s="77" t="s">
        <v>318</v>
      </c>
      <c r="B106" s="272" t="s">
        <v>259</v>
      </c>
      <c r="C106" s="284" t="s">
        <v>172</v>
      </c>
      <c r="D106" s="284">
        <v>89713</v>
      </c>
      <c r="E106" s="301" t="s">
        <v>133</v>
      </c>
      <c r="F106" s="302">
        <v>1</v>
      </c>
      <c r="G106" s="287">
        <v>34.659999999999997</v>
      </c>
      <c r="H106" s="281">
        <f t="shared" ref="H106:H117" si="25">F106*G106</f>
        <v>34.659999999999997</v>
      </c>
      <c r="I106" s="288">
        <f t="shared" si="24"/>
        <v>44.649011999999999</v>
      </c>
      <c r="J106" s="323"/>
    </row>
    <row r="107" spans="1:10" s="71" customFormat="1" ht="38.25" x14ac:dyDescent="0.25">
      <c r="A107" s="77" t="s">
        <v>319</v>
      </c>
      <c r="B107" s="272" t="s">
        <v>258</v>
      </c>
      <c r="C107" s="284" t="s">
        <v>172</v>
      </c>
      <c r="D107" s="284">
        <v>89712</v>
      </c>
      <c r="E107" s="301" t="s">
        <v>133</v>
      </c>
      <c r="F107" s="302">
        <v>5</v>
      </c>
      <c r="G107" s="287">
        <v>26.66</v>
      </c>
      <c r="H107" s="281">
        <f t="shared" si="25"/>
        <v>133.30000000000001</v>
      </c>
      <c r="I107" s="288">
        <f t="shared" si="24"/>
        <v>171.71706</v>
      </c>
      <c r="J107" s="323"/>
    </row>
    <row r="108" spans="1:10" s="71" customFormat="1" ht="38.25" x14ac:dyDescent="0.25">
      <c r="A108" s="77" t="s">
        <v>320</v>
      </c>
      <c r="B108" s="272" t="s">
        <v>257</v>
      </c>
      <c r="C108" s="284" t="s">
        <v>172</v>
      </c>
      <c r="D108" s="284">
        <v>89711</v>
      </c>
      <c r="E108" s="301" t="s">
        <v>133</v>
      </c>
      <c r="F108" s="302">
        <v>2</v>
      </c>
      <c r="G108" s="287">
        <v>20.88</v>
      </c>
      <c r="H108" s="281">
        <f t="shared" si="25"/>
        <v>41.76</v>
      </c>
      <c r="I108" s="288">
        <f t="shared" si="24"/>
        <v>53.795231999999999</v>
      </c>
      <c r="J108" s="323"/>
    </row>
    <row r="109" spans="1:10" s="71" customFormat="1" ht="38.25" x14ac:dyDescent="0.25">
      <c r="A109" s="77" t="s">
        <v>321</v>
      </c>
      <c r="B109" s="272" t="s">
        <v>261</v>
      </c>
      <c r="C109" s="284" t="s">
        <v>172</v>
      </c>
      <c r="D109" s="284">
        <v>89797</v>
      </c>
      <c r="E109" s="301" t="s">
        <v>135</v>
      </c>
      <c r="F109" s="302">
        <v>2</v>
      </c>
      <c r="G109" s="287">
        <v>50.82</v>
      </c>
      <c r="H109" s="281">
        <f t="shared" si="25"/>
        <v>101.64</v>
      </c>
      <c r="I109" s="288">
        <f t="shared" si="24"/>
        <v>130.932648</v>
      </c>
      <c r="J109" s="323"/>
    </row>
    <row r="110" spans="1:10" s="71" customFormat="1" ht="25.5" x14ac:dyDescent="0.25">
      <c r="A110" s="77" t="s">
        <v>322</v>
      </c>
      <c r="B110" s="272" t="s">
        <v>283</v>
      </c>
      <c r="C110" s="284" t="s">
        <v>196</v>
      </c>
      <c r="D110" s="284" t="s">
        <v>735</v>
      </c>
      <c r="E110" s="301" t="s">
        <v>135</v>
      </c>
      <c r="F110" s="302">
        <v>1</v>
      </c>
      <c r="G110" s="287">
        <v>49.6</v>
      </c>
      <c r="H110" s="281">
        <f t="shared" si="25"/>
        <v>49.6</v>
      </c>
      <c r="I110" s="288">
        <f t="shared" si="24"/>
        <v>63.89472</v>
      </c>
      <c r="J110" s="323"/>
    </row>
    <row r="111" spans="1:10" s="71" customFormat="1" ht="38.25" x14ac:dyDescent="0.25">
      <c r="A111" s="77" t="s">
        <v>323</v>
      </c>
      <c r="B111" s="272" t="s">
        <v>263</v>
      </c>
      <c r="C111" s="284" t="s">
        <v>172</v>
      </c>
      <c r="D111" s="284">
        <v>89811</v>
      </c>
      <c r="E111" s="301" t="s">
        <v>135</v>
      </c>
      <c r="F111" s="302">
        <v>1</v>
      </c>
      <c r="G111" s="287">
        <v>44.95</v>
      </c>
      <c r="H111" s="281">
        <f t="shared" si="25"/>
        <v>44.95</v>
      </c>
      <c r="I111" s="288">
        <f t="shared" si="24"/>
        <v>57.904590000000006</v>
      </c>
      <c r="J111" s="323"/>
    </row>
    <row r="112" spans="1:10" s="71" customFormat="1" ht="38.25" x14ac:dyDescent="0.25">
      <c r="A112" s="77" t="s">
        <v>324</v>
      </c>
      <c r="B112" s="272" t="s">
        <v>266</v>
      </c>
      <c r="C112" s="284" t="s">
        <v>172</v>
      </c>
      <c r="D112" s="284">
        <v>89746</v>
      </c>
      <c r="E112" s="301" t="s">
        <v>135</v>
      </c>
      <c r="F112" s="302">
        <v>2</v>
      </c>
      <c r="G112" s="287">
        <v>27.76</v>
      </c>
      <c r="H112" s="281">
        <f t="shared" si="25"/>
        <v>55.52</v>
      </c>
      <c r="I112" s="288">
        <f t="shared" si="24"/>
        <v>71.520864000000003</v>
      </c>
      <c r="J112" s="323"/>
    </row>
    <row r="113" spans="1:10" s="71" customFormat="1" ht="38.25" x14ac:dyDescent="0.25">
      <c r="A113" s="77" t="s">
        <v>325</v>
      </c>
      <c r="B113" s="272" t="s">
        <v>262</v>
      </c>
      <c r="C113" s="284" t="s">
        <v>172</v>
      </c>
      <c r="D113" s="284">
        <v>89803</v>
      </c>
      <c r="E113" s="301" t="s">
        <v>135</v>
      </c>
      <c r="F113" s="302">
        <v>4</v>
      </c>
      <c r="G113" s="287">
        <v>17.48</v>
      </c>
      <c r="H113" s="281">
        <f t="shared" si="25"/>
        <v>69.92</v>
      </c>
      <c r="I113" s="288">
        <f t="shared" si="24"/>
        <v>90.070943999999997</v>
      </c>
      <c r="J113" s="323"/>
    </row>
    <row r="114" spans="1:10" s="71" customFormat="1" ht="38.25" x14ac:dyDescent="0.25">
      <c r="A114" s="77" t="s">
        <v>605</v>
      </c>
      <c r="B114" s="272" t="s">
        <v>265</v>
      </c>
      <c r="C114" s="284" t="s">
        <v>172</v>
      </c>
      <c r="D114" s="284">
        <v>89732</v>
      </c>
      <c r="E114" s="301" t="s">
        <v>135</v>
      </c>
      <c r="F114" s="302">
        <v>1</v>
      </c>
      <c r="G114" s="287">
        <v>14.86</v>
      </c>
      <c r="H114" s="281">
        <f t="shared" si="25"/>
        <v>14.86</v>
      </c>
      <c r="I114" s="288">
        <f t="shared" si="24"/>
        <v>19.142651999999998</v>
      </c>
      <c r="J114" s="323"/>
    </row>
    <row r="115" spans="1:10" s="71" customFormat="1" ht="38.25" x14ac:dyDescent="0.25">
      <c r="A115" s="77" t="s">
        <v>326</v>
      </c>
      <c r="B115" s="272" t="s">
        <v>264</v>
      </c>
      <c r="C115" s="284" t="s">
        <v>172</v>
      </c>
      <c r="D115" s="284">
        <v>89728</v>
      </c>
      <c r="E115" s="301" t="s">
        <v>135</v>
      </c>
      <c r="F115" s="302">
        <v>2</v>
      </c>
      <c r="G115" s="287">
        <v>13.28</v>
      </c>
      <c r="H115" s="281">
        <f t="shared" si="25"/>
        <v>26.56</v>
      </c>
      <c r="I115" s="288">
        <f t="shared" si="24"/>
        <v>34.214591999999996</v>
      </c>
      <c r="J115" s="323"/>
    </row>
    <row r="116" spans="1:10" s="71" customFormat="1" ht="38.25" x14ac:dyDescent="0.25">
      <c r="A116" s="77" t="s">
        <v>327</v>
      </c>
      <c r="B116" s="272" t="s">
        <v>267</v>
      </c>
      <c r="C116" s="284" t="s">
        <v>172</v>
      </c>
      <c r="D116" s="284">
        <v>89726</v>
      </c>
      <c r="E116" s="301" t="s">
        <v>135</v>
      </c>
      <c r="F116" s="302">
        <v>1</v>
      </c>
      <c r="G116" s="287">
        <v>9.5</v>
      </c>
      <c r="H116" s="281">
        <f t="shared" si="25"/>
        <v>9.5</v>
      </c>
      <c r="I116" s="288">
        <f t="shared" si="24"/>
        <v>12.2379</v>
      </c>
      <c r="J116" s="323"/>
    </row>
    <row r="117" spans="1:10" s="71" customFormat="1" ht="26.25" thickBot="1" x14ac:dyDescent="0.3">
      <c r="A117" s="77" t="s">
        <v>328</v>
      </c>
      <c r="B117" s="272" t="s">
        <v>603</v>
      </c>
      <c r="C117" s="284" t="s">
        <v>172</v>
      </c>
      <c r="D117" s="284">
        <v>97897</v>
      </c>
      <c r="E117" s="301" t="s">
        <v>135</v>
      </c>
      <c r="F117" s="302">
        <v>1</v>
      </c>
      <c r="G117" s="287">
        <v>271.12</v>
      </c>
      <c r="H117" s="281">
        <f t="shared" si="25"/>
        <v>271.12</v>
      </c>
      <c r="I117" s="288">
        <f t="shared" si="24"/>
        <v>349.25678399999998</v>
      </c>
      <c r="J117" s="323"/>
    </row>
    <row r="118" spans="1:10" s="54" customFormat="1" ht="15.75" thickBot="1" x14ac:dyDescent="0.3">
      <c r="A118" s="382">
        <v>6</v>
      </c>
      <c r="B118" s="388" t="s">
        <v>176</v>
      </c>
      <c r="C118" s="389"/>
      <c r="D118" s="389"/>
      <c r="E118" s="390"/>
      <c r="F118" s="394"/>
      <c r="G118" s="395"/>
      <c r="H118" s="396"/>
      <c r="I118" s="393"/>
    </row>
    <row r="119" spans="1:10" ht="25.5" x14ac:dyDescent="0.25">
      <c r="A119" s="77" t="s">
        <v>31</v>
      </c>
      <c r="B119" s="271" t="s">
        <v>656</v>
      </c>
      <c r="C119" s="284" t="s">
        <v>196</v>
      </c>
      <c r="D119" s="277" t="s">
        <v>742</v>
      </c>
      <c r="E119" s="306" t="s">
        <v>135</v>
      </c>
      <c r="F119" s="310">
        <v>1</v>
      </c>
      <c r="G119" s="280">
        <v>1352.22</v>
      </c>
      <c r="H119" s="281">
        <f t="shared" ref="H119:H158" si="26">F119*G119</f>
        <v>1352.22</v>
      </c>
      <c r="I119" s="83">
        <f t="shared" ref="I119:I159" si="27">H119*(1+$I$5)</f>
        <v>1741.9298040000001</v>
      </c>
      <c r="J119" s="323"/>
    </row>
    <row r="120" spans="1:10" ht="25.5" x14ac:dyDescent="0.25">
      <c r="A120" s="77" t="s">
        <v>33</v>
      </c>
      <c r="B120" s="271" t="s">
        <v>362</v>
      </c>
      <c r="C120" s="284" t="s">
        <v>134</v>
      </c>
      <c r="D120" s="284">
        <v>41202</v>
      </c>
      <c r="E120" s="301" t="s">
        <v>135</v>
      </c>
      <c r="F120" s="310">
        <v>1</v>
      </c>
      <c r="G120" s="280">
        <v>725.59</v>
      </c>
      <c r="H120" s="281">
        <f t="shared" si="26"/>
        <v>725.59</v>
      </c>
      <c r="I120" s="288">
        <f t="shared" si="27"/>
        <v>934.70503800000006</v>
      </c>
      <c r="J120" s="323"/>
    </row>
    <row r="121" spans="1:10" ht="38.25" x14ac:dyDescent="0.25">
      <c r="A121" s="77" t="s">
        <v>35</v>
      </c>
      <c r="B121" s="271" t="s">
        <v>657</v>
      </c>
      <c r="C121" s="284" t="s">
        <v>172</v>
      </c>
      <c r="D121" s="284">
        <v>91834</v>
      </c>
      <c r="E121" s="301" t="s">
        <v>133</v>
      </c>
      <c r="F121" s="310">
        <v>15</v>
      </c>
      <c r="G121" s="280">
        <v>10.44</v>
      </c>
      <c r="H121" s="281">
        <f t="shared" si="26"/>
        <v>156.6</v>
      </c>
      <c r="I121" s="288">
        <f t="shared" si="27"/>
        <v>201.73211999999998</v>
      </c>
      <c r="J121" s="323"/>
    </row>
    <row r="122" spans="1:10" ht="38.25" x14ac:dyDescent="0.25">
      <c r="A122" s="77" t="s">
        <v>37</v>
      </c>
      <c r="B122" s="271" t="s">
        <v>671</v>
      </c>
      <c r="C122" s="284" t="s">
        <v>172</v>
      </c>
      <c r="D122" s="284">
        <v>91847</v>
      </c>
      <c r="E122" s="301" t="s">
        <v>133</v>
      </c>
      <c r="F122" s="310">
        <v>18</v>
      </c>
      <c r="G122" s="280">
        <v>16.09</v>
      </c>
      <c r="H122" s="281">
        <f t="shared" si="26"/>
        <v>289.62</v>
      </c>
      <c r="I122" s="288">
        <f t="shared" si="27"/>
        <v>373.08848399999999</v>
      </c>
      <c r="J122" s="323"/>
    </row>
    <row r="123" spans="1:10" ht="25.5" x14ac:dyDescent="0.25">
      <c r="A123" s="77" t="s">
        <v>410</v>
      </c>
      <c r="B123" s="271" t="s">
        <v>675</v>
      </c>
      <c r="C123" s="284" t="s">
        <v>172</v>
      </c>
      <c r="D123" s="284">
        <v>95731</v>
      </c>
      <c r="E123" s="301" t="s">
        <v>133</v>
      </c>
      <c r="F123" s="310">
        <v>25</v>
      </c>
      <c r="G123" s="280">
        <v>13.93</v>
      </c>
      <c r="H123" s="281">
        <f t="shared" ref="H123" si="28">F123*G123</f>
        <v>348.25</v>
      </c>
      <c r="I123" s="288">
        <f t="shared" ref="I123" si="29">H123*(1+$I$5)</f>
        <v>448.61565000000002</v>
      </c>
      <c r="J123" s="323"/>
    </row>
    <row r="124" spans="1:10" ht="25.5" x14ac:dyDescent="0.25">
      <c r="A124" s="77" t="s">
        <v>411</v>
      </c>
      <c r="B124" s="271" t="s">
        <v>676</v>
      </c>
      <c r="C124" s="284" t="s">
        <v>172</v>
      </c>
      <c r="D124" s="284">
        <v>95730</v>
      </c>
      <c r="E124" s="301" t="s">
        <v>133</v>
      </c>
      <c r="F124" s="310">
        <v>105</v>
      </c>
      <c r="G124" s="280">
        <v>11.26</v>
      </c>
      <c r="H124" s="281">
        <f t="shared" ref="H124:H125" si="30">F124*G124</f>
        <v>1182.3</v>
      </c>
      <c r="I124" s="288">
        <f t="shared" ref="I124:I125" si="31">H124*(1+$I$5)</f>
        <v>1523.0388599999999</v>
      </c>
      <c r="J124" s="323"/>
    </row>
    <row r="125" spans="1:10" ht="25.5" x14ac:dyDescent="0.25">
      <c r="A125" s="77" t="s">
        <v>412</v>
      </c>
      <c r="B125" s="272" t="s">
        <v>683</v>
      </c>
      <c r="C125" s="284" t="s">
        <v>196</v>
      </c>
      <c r="D125" s="284" t="s">
        <v>744</v>
      </c>
      <c r="E125" s="301" t="s">
        <v>135</v>
      </c>
      <c r="F125" s="310">
        <v>40</v>
      </c>
      <c r="G125" s="280">
        <v>8.66</v>
      </c>
      <c r="H125" s="281">
        <f t="shared" si="30"/>
        <v>346.4</v>
      </c>
      <c r="I125" s="288">
        <f t="shared" si="31"/>
        <v>446.23247999999995</v>
      </c>
      <c r="J125" s="323"/>
    </row>
    <row r="126" spans="1:10" ht="25.5" x14ac:dyDescent="0.25">
      <c r="A126" s="77" t="s">
        <v>413</v>
      </c>
      <c r="B126" s="271" t="s">
        <v>687</v>
      </c>
      <c r="C126" s="284" t="s">
        <v>196</v>
      </c>
      <c r="D126" s="284" t="s">
        <v>745</v>
      </c>
      <c r="E126" s="301" t="s">
        <v>135</v>
      </c>
      <c r="F126" s="310">
        <v>12</v>
      </c>
      <c r="G126" s="280">
        <v>10.52</v>
      </c>
      <c r="H126" s="281">
        <f t="shared" ref="H126:H127" si="32">F126*G126</f>
        <v>126.24</v>
      </c>
      <c r="I126" s="288">
        <f t="shared" ref="I126:I127" si="33">H126*(1+$I$5)</f>
        <v>162.62236799999999</v>
      </c>
      <c r="J126" s="323"/>
    </row>
    <row r="127" spans="1:10" ht="38.25" x14ac:dyDescent="0.25">
      <c r="A127" s="77" t="s">
        <v>414</v>
      </c>
      <c r="B127" s="121" t="s">
        <v>688</v>
      </c>
      <c r="C127" s="284" t="s">
        <v>196</v>
      </c>
      <c r="D127" s="284" t="s">
        <v>746</v>
      </c>
      <c r="E127" s="301" t="s">
        <v>135</v>
      </c>
      <c r="F127" s="310">
        <v>10</v>
      </c>
      <c r="G127" s="280">
        <v>13.78</v>
      </c>
      <c r="H127" s="281">
        <f t="shared" si="32"/>
        <v>137.79999999999998</v>
      </c>
      <c r="I127" s="288">
        <f t="shared" si="33"/>
        <v>177.51395999999997</v>
      </c>
      <c r="J127" s="323"/>
    </row>
    <row r="128" spans="1:10" ht="38.25" x14ac:dyDescent="0.25">
      <c r="A128" s="77" t="s">
        <v>415</v>
      </c>
      <c r="B128" s="272" t="s">
        <v>673</v>
      </c>
      <c r="C128" s="284" t="s">
        <v>196</v>
      </c>
      <c r="D128" s="284" t="s">
        <v>497</v>
      </c>
      <c r="E128" s="301" t="s">
        <v>133</v>
      </c>
      <c r="F128" s="310">
        <v>12</v>
      </c>
      <c r="G128" s="280">
        <v>6.23</v>
      </c>
      <c r="H128" s="281">
        <f t="shared" ref="H128" si="34">F128*G128</f>
        <v>74.760000000000005</v>
      </c>
      <c r="I128" s="288">
        <f t="shared" ref="I128" si="35">H128*(1+$I$5)</f>
        <v>96.305832000000009</v>
      </c>
      <c r="J128" s="323"/>
    </row>
    <row r="129" spans="1:10" ht="38.25" x14ac:dyDescent="0.25">
      <c r="A129" s="77" t="s">
        <v>416</v>
      </c>
      <c r="B129" s="272" t="s">
        <v>672</v>
      </c>
      <c r="C129" s="284" t="s">
        <v>196</v>
      </c>
      <c r="D129" s="284" t="s">
        <v>492</v>
      </c>
      <c r="E129" s="301" t="s">
        <v>133</v>
      </c>
      <c r="F129" s="310">
        <v>9</v>
      </c>
      <c r="G129" s="280">
        <v>6.95</v>
      </c>
      <c r="H129" s="281">
        <f t="shared" ref="H129" si="36">F129*G129</f>
        <v>62.550000000000004</v>
      </c>
      <c r="I129" s="288">
        <f t="shared" ref="I129" si="37">H129*(1+$I$5)</f>
        <v>80.576910000000012</v>
      </c>
      <c r="J129" s="323"/>
    </row>
    <row r="130" spans="1:10" ht="38.25" x14ac:dyDescent="0.25">
      <c r="A130" s="77" t="s">
        <v>417</v>
      </c>
      <c r="B130" s="271" t="s">
        <v>658</v>
      </c>
      <c r="C130" s="284" t="s">
        <v>172</v>
      </c>
      <c r="D130" s="284">
        <v>97667</v>
      </c>
      <c r="E130" s="301" t="s">
        <v>133</v>
      </c>
      <c r="F130" s="310">
        <v>90</v>
      </c>
      <c r="G130" s="280">
        <v>8.2799999999999994</v>
      </c>
      <c r="H130" s="281">
        <f t="shared" ref="H130" si="38">F130*G130</f>
        <v>745.19999999999993</v>
      </c>
      <c r="I130" s="288">
        <f t="shared" ref="I130" si="39">H130*(1+$I$5)</f>
        <v>959.96663999999987</v>
      </c>
      <c r="J130" s="323"/>
    </row>
    <row r="131" spans="1:10" ht="38.25" x14ac:dyDescent="0.25">
      <c r="A131" s="77" t="s">
        <v>418</v>
      </c>
      <c r="B131" s="271" t="s">
        <v>674</v>
      </c>
      <c r="C131" s="284" t="s">
        <v>172</v>
      </c>
      <c r="D131" s="284">
        <v>95817</v>
      </c>
      <c r="E131" s="301" t="s">
        <v>135</v>
      </c>
      <c r="F131" s="310">
        <v>94</v>
      </c>
      <c r="G131" s="280">
        <v>43.45</v>
      </c>
      <c r="H131" s="281">
        <f t="shared" ref="H131" si="40">F131*G131</f>
        <v>4084.3</v>
      </c>
      <c r="I131" s="288">
        <f t="shared" ref="I131" si="41">H131*(1+$I$5)</f>
        <v>5261.3952600000002</v>
      </c>
      <c r="J131" s="323"/>
    </row>
    <row r="132" spans="1:10" s="54" customFormat="1" ht="25.5" x14ac:dyDescent="0.25">
      <c r="A132" s="77" t="s">
        <v>419</v>
      </c>
      <c r="B132" s="271" t="s">
        <v>285</v>
      </c>
      <c r="C132" s="284" t="s">
        <v>172</v>
      </c>
      <c r="D132" s="284">
        <v>91953</v>
      </c>
      <c r="E132" s="301" t="s">
        <v>135</v>
      </c>
      <c r="F132" s="310">
        <v>5</v>
      </c>
      <c r="G132" s="280">
        <v>28.08</v>
      </c>
      <c r="H132" s="281">
        <f t="shared" si="26"/>
        <v>140.39999999999998</v>
      </c>
      <c r="I132" s="288">
        <f t="shared" si="27"/>
        <v>180.86327999999997</v>
      </c>
      <c r="J132" s="323"/>
    </row>
    <row r="133" spans="1:10" ht="25.5" x14ac:dyDescent="0.25">
      <c r="A133" s="77" t="s">
        <v>420</v>
      </c>
      <c r="B133" s="271" t="s">
        <v>755</v>
      </c>
      <c r="C133" s="284" t="s">
        <v>172</v>
      </c>
      <c r="D133" s="284">
        <v>91967</v>
      </c>
      <c r="E133" s="301" t="s">
        <v>135</v>
      </c>
      <c r="F133" s="310">
        <v>1</v>
      </c>
      <c r="G133" s="280">
        <v>60.92</v>
      </c>
      <c r="H133" s="281">
        <f t="shared" si="26"/>
        <v>60.92</v>
      </c>
      <c r="I133" s="288">
        <f t="shared" si="27"/>
        <v>78.47714400000001</v>
      </c>
      <c r="J133" s="323"/>
    </row>
    <row r="134" spans="1:10" s="54" customFormat="1" ht="25.5" x14ac:dyDescent="0.25">
      <c r="A134" s="77" t="s">
        <v>421</v>
      </c>
      <c r="B134" s="271" t="s">
        <v>286</v>
      </c>
      <c r="C134" s="284" t="s">
        <v>172</v>
      </c>
      <c r="D134" s="284">
        <v>92000</v>
      </c>
      <c r="E134" s="301" t="s">
        <v>135</v>
      </c>
      <c r="F134" s="310">
        <v>8</v>
      </c>
      <c r="G134" s="280">
        <v>29.7</v>
      </c>
      <c r="H134" s="281">
        <f t="shared" si="26"/>
        <v>237.6</v>
      </c>
      <c r="I134" s="288">
        <f t="shared" si="27"/>
        <v>306.07632000000001</v>
      </c>
      <c r="J134" s="323"/>
    </row>
    <row r="135" spans="1:10" s="54" customFormat="1" ht="25.5" x14ac:dyDescent="0.25">
      <c r="A135" s="77" t="s">
        <v>422</v>
      </c>
      <c r="B135" s="271" t="s">
        <v>626</v>
      </c>
      <c r="C135" s="284" t="s">
        <v>172</v>
      </c>
      <c r="D135" s="284">
        <v>92001</v>
      </c>
      <c r="E135" s="301" t="s">
        <v>135</v>
      </c>
      <c r="F135" s="310">
        <v>10</v>
      </c>
      <c r="G135" s="280">
        <v>32.25</v>
      </c>
      <c r="H135" s="281">
        <f t="shared" ref="H135:H136" si="42">F135*G135</f>
        <v>322.5</v>
      </c>
      <c r="I135" s="288">
        <f t="shared" ref="I135:I136" si="43">H135*(1+$I$5)</f>
        <v>415.44450000000001</v>
      </c>
      <c r="J135" s="323"/>
    </row>
    <row r="136" spans="1:10" s="54" customFormat="1" ht="25.5" x14ac:dyDescent="0.25">
      <c r="A136" s="77" t="s">
        <v>423</v>
      </c>
      <c r="B136" s="271" t="s">
        <v>627</v>
      </c>
      <c r="C136" s="284" t="s">
        <v>172</v>
      </c>
      <c r="D136" s="284">
        <v>92016</v>
      </c>
      <c r="E136" s="301" t="s">
        <v>135</v>
      </c>
      <c r="F136" s="310">
        <v>12</v>
      </c>
      <c r="G136" s="280">
        <v>65.67</v>
      </c>
      <c r="H136" s="281">
        <f t="shared" si="42"/>
        <v>788.04</v>
      </c>
      <c r="I136" s="288">
        <f t="shared" si="43"/>
        <v>1015.1531279999999</v>
      </c>
      <c r="J136" s="323"/>
    </row>
    <row r="137" spans="1:10" s="54" customFormat="1" ht="25.5" x14ac:dyDescent="0.25">
      <c r="A137" s="77" t="s">
        <v>424</v>
      </c>
      <c r="B137" s="271" t="s">
        <v>287</v>
      </c>
      <c r="C137" s="284" t="s">
        <v>172</v>
      </c>
      <c r="D137" s="284">
        <v>91941</v>
      </c>
      <c r="E137" s="301" t="s">
        <v>135</v>
      </c>
      <c r="F137" s="310">
        <v>16</v>
      </c>
      <c r="G137" s="280">
        <v>11.58</v>
      </c>
      <c r="H137" s="281">
        <f t="shared" ref="H137" si="44">F137*G137</f>
        <v>185.28</v>
      </c>
      <c r="I137" s="288">
        <f t="shared" ref="I137" si="45">H137*(1+$I$5)</f>
        <v>238.677696</v>
      </c>
      <c r="J137" s="323"/>
    </row>
    <row r="138" spans="1:10" s="54" customFormat="1" x14ac:dyDescent="0.25">
      <c r="A138" s="77" t="s">
        <v>425</v>
      </c>
      <c r="B138" s="318" t="s">
        <v>191</v>
      </c>
      <c r="C138" s="284" t="s">
        <v>172</v>
      </c>
      <c r="D138" s="284">
        <v>98307</v>
      </c>
      <c r="E138" s="301" t="s">
        <v>135</v>
      </c>
      <c r="F138" s="302">
        <v>26</v>
      </c>
      <c r="G138" s="287">
        <v>52.23</v>
      </c>
      <c r="H138" s="281">
        <f t="shared" ref="H138" si="46">F138*G138</f>
        <v>1357.98</v>
      </c>
      <c r="I138" s="288">
        <f t="shared" ref="I138" si="47">H138*(1+$I$5)</f>
        <v>1749.3498360000001</v>
      </c>
      <c r="J138" s="323"/>
    </row>
    <row r="139" spans="1:10" s="72" customFormat="1" ht="25.5" x14ac:dyDescent="0.25">
      <c r="A139" s="77" t="s">
        <v>426</v>
      </c>
      <c r="B139" s="284" t="s">
        <v>763</v>
      </c>
      <c r="C139" s="284" t="s">
        <v>196</v>
      </c>
      <c r="D139" s="284" t="s">
        <v>741</v>
      </c>
      <c r="E139" s="301" t="s">
        <v>133</v>
      </c>
      <c r="F139" s="302">
        <v>12</v>
      </c>
      <c r="G139" s="280">
        <v>119.34</v>
      </c>
      <c r="H139" s="281">
        <f t="shared" si="26"/>
        <v>1432.08</v>
      </c>
      <c r="I139" s="288">
        <f t="shared" si="27"/>
        <v>1844.8054559999998</v>
      </c>
      <c r="J139" s="323"/>
    </row>
    <row r="140" spans="1:10" s="72" customFormat="1" ht="38.25" x14ac:dyDescent="0.25">
      <c r="A140" s="77" t="s">
        <v>427</v>
      </c>
      <c r="B140" s="271" t="s">
        <v>756</v>
      </c>
      <c r="C140" s="284" t="s">
        <v>196</v>
      </c>
      <c r="D140" s="284" t="s">
        <v>764</v>
      </c>
      <c r="E140" s="301" t="s">
        <v>135</v>
      </c>
      <c r="F140" s="310">
        <v>4</v>
      </c>
      <c r="G140" s="280">
        <v>70.650000000000006</v>
      </c>
      <c r="H140" s="281">
        <f t="shared" si="26"/>
        <v>282.60000000000002</v>
      </c>
      <c r="I140" s="288">
        <f t="shared" si="27"/>
        <v>364.04532000000006</v>
      </c>
      <c r="J140" s="323"/>
    </row>
    <row r="141" spans="1:10" s="72" customFormat="1" ht="25.5" x14ac:dyDescent="0.25">
      <c r="A141" s="77" t="s">
        <v>428</v>
      </c>
      <c r="B141" s="271" t="s">
        <v>754</v>
      </c>
      <c r="C141" s="284" t="s">
        <v>134</v>
      </c>
      <c r="D141" s="284">
        <v>39606</v>
      </c>
      <c r="E141" s="301" t="s">
        <v>135</v>
      </c>
      <c r="F141" s="310">
        <v>56</v>
      </c>
      <c r="G141" s="280">
        <v>26.97</v>
      </c>
      <c r="H141" s="281">
        <f t="shared" si="26"/>
        <v>1510.32</v>
      </c>
      <c r="I141" s="288">
        <f t="shared" si="27"/>
        <v>1945.5942239999999</v>
      </c>
      <c r="J141" s="323"/>
    </row>
    <row r="142" spans="1:10" s="72" customFormat="1" ht="25.5" x14ac:dyDescent="0.25">
      <c r="A142" s="77" t="s">
        <v>429</v>
      </c>
      <c r="B142" s="271" t="s">
        <v>336</v>
      </c>
      <c r="C142" s="284" t="s">
        <v>172</v>
      </c>
      <c r="D142" s="284">
        <v>98302</v>
      </c>
      <c r="E142" s="301" t="s">
        <v>135</v>
      </c>
      <c r="F142" s="310">
        <v>1</v>
      </c>
      <c r="G142" s="280">
        <v>1191.33</v>
      </c>
      <c r="H142" s="281">
        <f t="shared" si="26"/>
        <v>1191.33</v>
      </c>
      <c r="I142" s="288">
        <f t="shared" si="27"/>
        <v>1534.671306</v>
      </c>
      <c r="J142" s="323"/>
    </row>
    <row r="143" spans="1:10" s="72" customFormat="1" x14ac:dyDescent="0.25">
      <c r="A143" s="77" t="s">
        <v>430</v>
      </c>
      <c r="B143" s="271" t="s">
        <v>628</v>
      </c>
      <c r="C143" s="284" t="s">
        <v>202</v>
      </c>
      <c r="D143" s="284" t="s">
        <v>700</v>
      </c>
      <c r="E143" s="301" t="s">
        <v>135</v>
      </c>
      <c r="F143" s="310">
        <v>1</v>
      </c>
      <c r="G143" s="280">
        <v>856.96</v>
      </c>
      <c r="H143" s="281">
        <f t="shared" si="26"/>
        <v>856.96</v>
      </c>
      <c r="I143" s="288">
        <f t="shared" si="27"/>
        <v>1103.935872</v>
      </c>
      <c r="J143" s="323"/>
    </row>
    <row r="144" spans="1:10" s="72" customFormat="1" x14ac:dyDescent="0.25">
      <c r="A144" s="77" t="s">
        <v>431</v>
      </c>
      <c r="B144" s="271" t="s">
        <v>337</v>
      </c>
      <c r="C144" s="284" t="s">
        <v>202</v>
      </c>
      <c r="D144" s="284" t="s">
        <v>703</v>
      </c>
      <c r="E144" s="301" t="s">
        <v>135</v>
      </c>
      <c r="F144" s="310">
        <v>1</v>
      </c>
      <c r="G144" s="280">
        <v>82.01</v>
      </c>
      <c r="H144" s="281">
        <f t="shared" si="26"/>
        <v>82.01</v>
      </c>
      <c r="I144" s="288">
        <f t="shared" si="27"/>
        <v>105.64528200000001</v>
      </c>
      <c r="J144" s="323"/>
    </row>
    <row r="145" spans="1:10" s="54" customFormat="1" x14ac:dyDescent="0.25">
      <c r="A145" s="77" t="s">
        <v>432</v>
      </c>
      <c r="B145" s="271" t="s">
        <v>338</v>
      </c>
      <c r="C145" s="284" t="s">
        <v>202</v>
      </c>
      <c r="D145" s="284" t="s">
        <v>704</v>
      </c>
      <c r="E145" s="301" t="s">
        <v>135</v>
      </c>
      <c r="F145" s="310">
        <v>1</v>
      </c>
      <c r="G145" s="280">
        <v>924.39</v>
      </c>
      <c r="H145" s="281">
        <f t="shared" si="26"/>
        <v>924.39</v>
      </c>
      <c r="I145" s="288">
        <f t="shared" si="27"/>
        <v>1190.7991979999999</v>
      </c>
      <c r="J145" s="323"/>
    </row>
    <row r="146" spans="1:10" s="54" customFormat="1" ht="25.5" x14ac:dyDescent="0.25">
      <c r="A146" s="77" t="s">
        <v>433</v>
      </c>
      <c r="B146" s="284" t="s">
        <v>653</v>
      </c>
      <c r="C146" s="284" t="s">
        <v>196</v>
      </c>
      <c r="D146" s="284" t="s">
        <v>766</v>
      </c>
      <c r="E146" s="301" t="s">
        <v>135</v>
      </c>
      <c r="F146" s="310">
        <v>1</v>
      </c>
      <c r="G146" s="280">
        <v>113.56</v>
      </c>
      <c r="H146" s="281">
        <f t="shared" si="26"/>
        <v>113.56</v>
      </c>
      <c r="I146" s="288">
        <f t="shared" si="27"/>
        <v>146.287992</v>
      </c>
      <c r="J146" s="323"/>
    </row>
    <row r="147" spans="1:10" s="54" customFormat="1" ht="25.5" x14ac:dyDescent="0.25">
      <c r="A147" s="77" t="s">
        <v>434</v>
      </c>
      <c r="B147" s="271" t="s">
        <v>339</v>
      </c>
      <c r="C147" s="284" t="s">
        <v>172</v>
      </c>
      <c r="D147" s="284">
        <v>93666</v>
      </c>
      <c r="E147" s="301" t="s">
        <v>135</v>
      </c>
      <c r="F147" s="310">
        <v>1</v>
      </c>
      <c r="G147" s="280">
        <v>84.76</v>
      </c>
      <c r="H147" s="281">
        <f t="shared" si="26"/>
        <v>84.76</v>
      </c>
      <c r="I147" s="288">
        <f t="shared" si="27"/>
        <v>109.18783200000001</v>
      </c>
      <c r="J147" s="323"/>
    </row>
    <row r="148" spans="1:10" s="54" customFormat="1" ht="25.5" x14ac:dyDescent="0.25">
      <c r="A148" s="77" t="s">
        <v>435</v>
      </c>
      <c r="B148" s="271" t="s">
        <v>629</v>
      </c>
      <c r="C148" s="284" t="s">
        <v>172</v>
      </c>
      <c r="D148" s="284">
        <v>93663</v>
      </c>
      <c r="E148" s="301" t="s">
        <v>135</v>
      </c>
      <c r="F148" s="310">
        <v>1</v>
      </c>
      <c r="G148" s="280">
        <v>71.989999999999995</v>
      </c>
      <c r="H148" s="281">
        <f t="shared" ref="H148" si="48">F148*G148</f>
        <v>71.989999999999995</v>
      </c>
      <c r="I148" s="288">
        <f t="shared" ref="I148" si="49">H148*(1+$I$5)</f>
        <v>92.737517999999994</v>
      </c>
      <c r="J148" s="323"/>
    </row>
    <row r="149" spans="1:10" s="54" customFormat="1" ht="25.5" x14ac:dyDescent="0.25">
      <c r="A149" s="77" t="s">
        <v>436</v>
      </c>
      <c r="B149" s="271" t="s">
        <v>630</v>
      </c>
      <c r="C149" s="284" t="s">
        <v>172</v>
      </c>
      <c r="D149" s="284">
        <v>93662</v>
      </c>
      <c r="E149" s="301" t="s">
        <v>135</v>
      </c>
      <c r="F149" s="310">
        <v>3</v>
      </c>
      <c r="G149" s="280">
        <v>71.989999999999995</v>
      </c>
      <c r="H149" s="281">
        <f t="shared" si="26"/>
        <v>215.96999999999997</v>
      </c>
      <c r="I149" s="288">
        <f t="shared" si="27"/>
        <v>278.21255399999995</v>
      </c>
      <c r="J149" s="323"/>
    </row>
    <row r="150" spans="1:10" s="54" customFormat="1" ht="25.5" x14ac:dyDescent="0.25">
      <c r="A150" s="77" t="s">
        <v>437</v>
      </c>
      <c r="B150" s="272" t="s">
        <v>631</v>
      </c>
      <c r="C150" s="284" t="s">
        <v>172</v>
      </c>
      <c r="D150" s="284">
        <v>93657</v>
      </c>
      <c r="E150" s="301" t="s">
        <v>135</v>
      </c>
      <c r="F150" s="310">
        <v>1</v>
      </c>
      <c r="G150" s="280">
        <v>16.989999999999998</v>
      </c>
      <c r="H150" s="281">
        <f t="shared" ref="H150" si="50">F150*G150</f>
        <v>16.989999999999998</v>
      </c>
      <c r="I150" s="288">
        <f t="shared" ref="I150" si="51">H150*(1+$I$5)</f>
        <v>21.886517999999999</v>
      </c>
      <c r="J150" s="323"/>
    </row>
    <row r="151" spans="1:10" s="72" customFormat="1" ht="25.5" x14ac:dyDescent="0.25">
      <c r="A151" s="77" t="s">
        <v>438</v>
      </c>
      <c r="B151" s="272" t="s">
        <v>185</v>
      </c>
      <c r="C151" s="284" t="s">
        <v>172</v>
      </c>
      <c r="D151" s="284">
        <v>93656</v>
      </c>
      <c r="E151" s="301" t="s">
        <v>135</v>
      </c>
      <c r="F151" s="251">
        <v>2</v>
      </c>
      <c r="G151" s="287">
        <v>15.51</v>
      </c>
      <c r="H151" s="281">
        <f t="shared" ref="H151:H155" si="52">F151*G151</f>
        <v>31.02</v>
      </c>
      <c r="I151" s="288">
        <f t="shared" si="27"/>
        <v>39.959963999999999</v>
      </c>
      <c r="J151" s="323"/>
    </row>
    <row r="152" spans="1:10" s="54" customFormat="1" ht="25.5" x14ac:dyDescent="0.25">
      <c r="A152" s="77" t="s">
        <v>439</v>
      </c>
      <c r="B152" s="272" t="s">
        <v>186</v>
      </c>
      <c r="C152" s="284" t="s">
        <v>172</v>
      </c>
      <c r="D152" s="284">
        <v>93655</v>
      </c>
      <c r="E152" s="301" t="s">
        <v>135</v>
      </c>
      <c r="F152" s="302">
        <v>3</v>
      </c>
      <c r="G152" s="287">
        <v>15.51</v>
      </c>
      <c r="H152" s="281">
        <f t="shared" si="52"/>
        <v>46.53</v>
      </c>
      <c r="I152" s="288">
        <f t="shared" si="27"/>
        <v>59.939945999999999</v>
      </c>
      <c r="J152" s="323"/>
    </row>
    <row r="153" spans="1:10" s="54" customFormat="1" ht="25.5" x14ac:dyDescent="0.25">
      <c r="A153" s="77" t="s">
        <v>440</v>
      </c>
      <c r="B153" s="272" t="s">
        <v>187</v>
      </c>
      <c r="C153" s="284" t="s">
        <v>172</v>
      </c>
      <c r="D153" s="284">
        <v>93654</v>
      </c>
      <c r="E153" s="301" t="s">
        <v>135</v>
      </c>
      <c r="F153" s="302">
        <v>1</v>
      </c>
      <c r="G153" s="287">
        <v>14.29</v>
      </c>
      <c r="H153" s="281">
        <f t="shared" si="52"/>
        <v>14.29</v>
      </c>
      <c r="I153" s="288">
        <f t="shared" si="27"/>
        <v>18.408377999999999</v>
      </c>
      <c r="J153" s="323"/>
    </row>
    <row r="154" spans="1:10" s="54" customFormat="1" ht="25.5" x14ac:dyDescent="0.25">
      <c r="A154" s="77" t="s">
        <v>441</v>
      </c>
      <c r="B154" s="272" t="s">
        <v>188</v>
      </c>
      <c r="C154" s="284" t="s">
        <v>172</v>
      </c>
      <c r="D154" s="284">
        <v>93653</v>
      </c>
      <c r="E154" s="301" t="s">
        <v>135</v>
      </c>
      <c r="F154" s="251">
        <v>1</v>
      </c>
      <c r="G154" s="287">
        <v>13.65</v>
      </c>
      <c r="H154" s="281">
        <f t="shared" si="52"/>
        <v>13.65</v>
      </c>
      <c r="I154" s="288">
        <f t="shared" si="27"/>
        <v>17.583930000000002</v>
      </c>
      <c r="J154" s="323"/>
    </row>
    <row r="155" spans="1:10" s="54" customFormat="1" ht="25.5" x14ac:dyDescent="0.25">
      <c r="A155" s="77" t="s">
        <v>442</v>
      </c>
      <c r="B155" s="272" t="s">
        <v>358</v>
      </c>
      <c r="C155" s="284" t="s">
        <v>196</v>
      </c>
      <c r="D155" s="284" t="s">
        <v>737</v>
      </c>
      <c r="E155" s="301" t="s">
        <v>135</v>
      </c>
      <c r="F155" s="302">
        <v>2</v>
      </c>
      <c r="G155" s="287">
        <v>113.39</v>
      </c>
      <c r="H155" s="281">
        <f t="shared" si="52"/>
        <v>226.78</v>
      </c>
      <c r="I155" s="288">
        <f t="shared" si="27"/>
        <v>292.13799599999999</v>
      </c>
      <c r="J155" s="323"/>
    </row>
    <row r="156" spans="1:10" s="54" customFormat="1" ht="38.25" x14ac:dyDescent="0.25">
      <c r="A156" s="77" t="s">
        <v>443</v>
      </c>
      <c r="B156" s="284" t="s">
        <v>710</v>
      </c>
      <c r="C156" s="284" t="s">
        <v>196</v>
      </c>
      <c r="D156" s="284" t="s">
        <v>765</v>
      </c>
      <c r="E156" s="301" t="s">
        <v>135</v>
      </c>
      <c r="F156" s="302">
        <v>1</v>
      </c>
      <c r="G156" s="287">
        <v>896.12</v>
      </c>
      <c r="H156" s="281">
        <f t="shared" si="26"/>
        <v>896.12</v>
      </c>
      <c r="I156" s="288">
        <f t="shared" si="27"/>
        <v>1154.3817839999999</v>
      </c>
      <c r="J156" s="323"/>
    </row>
    <row r="157" spans="1:10" s="54" customFormat="1" ht="25.5" x14ac:dyDescent="0.25">
      <c r="A157" s="77" t="s">
        <v>444</v>
      </c>
      <c r="B157" s="272" t="s">
        <v>189</v>
      </c>
      <c r="C157" s="284" t="s">
        <v>172</v>
      </c>
      <c r="D157" s="284">
        <v>97599</v>
      </c>
      <c r="E157" s="301" t="s">
        <v>135</v>
      </c>
      <c r="F157" s="302">
        <v>7</v>
      </c>
      <c r="G157" s="287">
        <v>28.25</v>
      </c>
      <c r="H157" s="281">
        <f t="shared" si="26"/>
        <v>197.75</v>
      </c>
      <c r="I157" s="288">
        <f t="shared" si="27"/>
        <v>254.74154999999999</v>
      </c>
      <c r="J157" s="323"/>
    </row>
    <row r="158" spans="1:10" s="54" customFormat="1" ht="25.5" x14ac:dyDescent="0.25">
      <c r="A158" s="77" t="s">
        <v>445</v>
      </c>
      <c r="B158" s="272" t="s">
        <v>632</v>
      </c>
      <c r="C158" s="284" t="s">
        <v>172</v>
      </c>
      <c r="D158" s="284">
        <v>100903</v>
      </c>
      <c r="E158" s="301" t="s">
        <v>135</v>
      </c>
      <c r="F158" s="302">
        <v>32</v>
      </c>
      <c r="G158" s="287">
        <v>33.24</v>
      </c>
      <c r="H158" s="281">
        <f t="shared" si="26"/>
        <v>1063.68</v>
      </c>
      <c r="I158" s="288">
        <f t="shared" si="27"/>
        <v>1370.2325760000001</v>
      </c>
      <c r="J158" s="323"/>
    </row>
    <row r="159" spans="1:10" s="54" customFormat="1" ht="38.25" x14ac:dyDescent="0.25">
      <c r="A159" s="77" t="s">
        <v>446</v>
      </c>
      <c r="B159" s="272" t="s">
        <v>682</v>
      </c>
      <c r="C159" s="284" t="s">
        <v>172</v>
      </c>
      <c r="D159" s="284">
        <v>97607</v>
      </c>
      <c r="E159" s="301" t="s">
        <v>135</v>
      </c>
      <c r="F159" s="302">
        <v>8</v>
      </c>
      <c r="G159" s="287">
        <v>117.84</v>
      </c>
      <c r="H159" s="281">
        <f t="shared" ref="H159:H166" si="53">F159*G159</f>
        <v>942.72</v>
      </c>
      <c r="I159" s="288">
        <f t="shared" si="27"/>
        <v>1214.411904</v>
      </c>
      <c r="J159" s="323"/>
    </row>
    <row r="160" spans="1:10" s="54" customFormat="1" x14ac:dyDescent="0.25">
      <c r="A160" s="77" t="s">
        <v>447</v>
      </c>
      <c r="B160" s="272" t="s">
        <v>691</v>
      </c>
      <c r="C160" s="284" t="s">
        <v>134</v>
      </c>
      <c r="D160" s="284">
        <v>34602</v>
      </c>
      <c r="E160" s="301" t="s">
        <v>133</v>
      </c>
      <c r="F160" s="302">
        <v>86</v>
      </c>
      <c r="G160" s="287">
        <v>4.01</v>
      </c>
      <c r="H160" s="281">
        <f t="shared" ref="H160" si="54">F160*G160</f>
        <v>344.85999999999996</v>
      </c>
      <c r="I160" s="288">
        <f t="shared" ref="I160" si="55">H160*(1+$I$5)</f>
        <v>444.24865199999994</v>
      </c>
      <c r="J160" s="323"/>
    </row>
    <row r="161" spans="1:13" s="54" customFormat="1" x14ac:dyDescent="0.25">
      <c r="A161" s="77" t="s">
        <v>448</v>
      </c>
      <c r="B161" s="272" t="s">
        <v>360</v>
      </c>
      <c r="C161" s="284" t="s">
        <v>134</v>
      </c>
      <c r="D161" s="284">
        <v>34621</v>
      </c>
      <c r="E161" s="301" t="s">
        <v>133</v>
      </c>
      <c r="F161" s="302">
        <v>4</v>
      </c>
      <c r="G161" s="287">
        <v>13.54</v>
      </c>
      <c r="H161" s="281">
        <f t="shared" si="53"/>
        <v>54.16</v>
      </c>
      <c r="I161" s="288">
        <f t="shared" ref="I161:I172" si="56">H161*(1+$I$5)</f>
        <v>69.768912</v>
      </c>
      <c r="J161" s="323"/>
    </row>
    <row r="162" spans="1:13" s="54" customFormat="1" ht="38.25" x14ac:dyDescent="0.25">
      <c r="A162" s="77" t="s">
        <v>449</v>
      </c>
      <c r="B162" s="272" t="s">
        <v>690</v>
      </c>
      <c r="C162" s="284" t="s">
        <v>172</v>
      </c>
      <c r="D162" s="284">
        <v>91924</v>
      </c>
      <c r="E162" s="301" t="s">
        <v>133</v>
      </c>
      <c r="F162" s="302">
        <v>64</v>
      </c>
      <c r="G162" s="287">
        <v>2.9</v>
      </c>
      <c r="H162" s="281">
        <f t="shared" ref="H162" si="57">F162*G162</f>
        <v>185.6</v>
      </c>
      <c r="I162" s="288">
        <f t="shared" si="56"/>
        <v>239.08992000000001</v>
      </c>
      <c r="J162" s="323"/>
    </row>
    <row r="163" spans="1:13" s="54" customFormat="1" ht="38.25" x14ac:dyDescent="0.25">
      <c r="A163" s="77" t="s">
        <v>450</v>
      </c>
      <c r="B163" s="272" t="s">
        <v>633</v>
      </c>
      <c r="C163" s="284" t="s">
        <v>172</v>
      </c>
      <c r="D163" s="284">
        <v>91926</v>
      </c>
      <c r="E163" s="301" t="s">
        <v>133</v>
      </c>
      <c r="F163" s="302">
        <v>1290</v>
      </c>
      <c r="G163" s="287">
        <v>4.1399999999999997</v>
      </c>
      <c r="H163" s="281">
        <f t="shared" ref="H163" si="58">F163*G163</f>
        <v>5340.5999999999995</v>
      </c>
      <c r="I163" s="288">
        <f t="shared" si="56"/>
        <v>6879.7609199999997</v>
      </c>
      <c r="J163" s="323"/>
    </row>
    <row r="164" spans="1:13" s="54" customFormat="1" ht="38.25" x14ac:dyDescent="0.25">
      <c r="A164" s="77" t="s">
        <v>451</v>
      </c>
      <c r="B164" s="272" t="s">
        <v>220</v>
      </c>
      <c r="C164" s="284" t="s">
        <v>172</v>
      </c>
      <c r="D164" s="284">
        <v>91928</v>
      </c>
      <c r="E164" s="301" t="s">
        <v>133</v>
      </c>
      <c r="F164" s="302">
        <v>270</v>
      </c>
      <c r="G164" s="287">
        <v>6.35</v>
      </c>
      <c r="H164" s="281">
        <f t="shared" ref="H164:H165" si="59">F164*G164</f>
        <v>1714.5</v>
      </c>
      <c r="I164" s="288">
        <f t="shared" si="56"/>
        <v>2208.6188999999999</v>
      </c>
      <c r="J164" s="323"/>
    </row>
    <row r="165" spans="1:13" s="54" customFormat="1" ht="25.5" x14ac:dyDescent="0.25">
      <c r="A165" s="77" t="s">
        <v>452</v>
      </c>
      <c r="B165" s="272" t="s">
        <v>705</v>
      </c>
      <c r="C165" s="284" t="s">
        <v>172</v>
      </c>
      <c r="D165" s="284">
        <v>92982</v>
      </c>
      <c r="E165" s="301" t="s">
        <v>133</v>
      </c>
      <c r="F165" s="302">
        <v>60</v>
      </c>
      <c r="G165" s="287">
        <v>16.12</v>
      </c>
      <c r="H165" s="281">
        <f t="shared" si="59"/>
        <v>967.2</v>
      </c>
      <c r="I165" s="288">
        <f t="shared" si="56"/>
        <v>1245.94704</v>
      </c>
      <c r="J165" s="323"/>
    </row>
    <row r="166" spans="1:13" s="54" customFormat="1" ht="38.25" x14ac:dyDescent="0.25">
      <c r="A166" s="77" t="s">
        <v>453</v>
      </c>
      <c r="B166" s="272" t="s">
        <v>706</v>
      </c>
      <c r="C166" s="284" t="s">
        <v>172</v>
      </c>
      <c r="D166" s="284">
        <v>92986</v>
      </c>
      <c r="E166" s="301" t="s">
        <v>133</v>
      </c>
      <c r="F166" s="302">
        <v>180</v>
      </c>
      <c r="G166" s="287">
        <v>36.97</v>
      </c>
      <c r="H166" s="281">
        <f t="shared" si="53"/>
        <v>6654.5999999999995</v>
      </c>
      <c r="I166" s="288">
        <f t="shared" si="56"/>
        <v>8572.4557199999999</v>
      </c>
      <c r="J166" s="323"/>
    </row>
    <row r="167" spans="1:13" s="54" customFormat="1" ht="25.5" x14ac:dyDescent="0.25">
      <c r="A167" s="77" t="s">
        <v>454</v>
      </c>
      <c r="B167" s="272" t="s">
        <v>197</v>
      </c>
      <c r="C167" s="284" t="s">
        <v>172</v>
      </c>
      <c r="D167" s="284">
        <v>98297</v>
      </c>
      <c r="E167" s="301" t="s">
        <v>133</v>
      </c>
      <c r="F167" s="302">
        <v>742</v>
      </c>
      <c r="G167" s="287">
        <v>9.18</v>
      </c>
      <c r="H167" s="281">
        <f t="shared" ref="H167:H172" si="60">F167*G167</f>
        <v>6811.5599999999995</v>
      </c>
      <c r="I167" s="288">
        <f t="shared" si="56"/>
        <v>8774.6515920000002</v>
      </c>
      <c r="J167" s="323"/>
    </row>
    <row r="168" spans="1:13" s="54" customFormat="1" ht="38.25" x14ac:dyDescent="0.25">
      <c r="A168" s="77" t="s">
        <v>455</v>
      </c>
      <c r="B168" s="271" t="s">
        <v>678</v>
      </c>
      <c r="C168" s="284" t="s">
        <v>172</v>
      </c>
      <c r="D168" s="277">
        <v>97881</v>
      </c>
      <c r="E168" s="306" t="s">
        <v>135</v>
      </c>
      <c r="F168" s="310">
        <v>12</v>
      </c>
      <c r="G168" s="280">
        <v>93.84</v>
      </c>
      <c r="H168" s="281">
        <f t="shared" ref="H168" si="61">F168*G168</f>
        <v>1126.08</v>
      </c>
      <c r="I168" s="288">
        <f t="shared" si="56"/>
        <v>1450.616256</v>
      </c>
      <c r="J168" s="323"/>
    </row>
    <row r="169" spans="1:13" s="54" customFormat="1" ht="25.5" x14ac:dyDescent="0.25">
      <c r="A169" s="77" t="s">
        <v>456</v>
      </c>
      <c r="B169" s="272" t="s">
        <v>680</v>
      </c>
      <c r="C169" s="284" t="s">
        <v>196</v>
      </c>
      <c r="D169" s="277" t="s">
        <v>738</v>
      </c>
      <c r="E169" s="306" t="s">
        <v>135</v>
      </c>
      <c r="F169" s="310">
        <v>1</v>
      </c>
      <c r="G169" s="280">
        <v>108.28</v>
      </c>
      <c r="H169" s="281">
        <f t="shared" ref="H169:H171" si="62">F169*G169</f>
        <v>108.28</v>
      </c>
      <c r="I169" s="288">
        <f t="shared" ref="I169:I171" si="63">H169*(1+$I$5)</f>
        <v>139.48629600000001</v>
      </c>
      <c r="J169" s="323"/>
    </row>
    <row r="170" spans="1:13" s="54" customFormat="1" ht="25.5" x14ac:dyDescent="0.25">
      <c r="A170" s="77" t="s">
        <v>457</v>
      </c>
      <c r="B170" s="295" t="s">
        <v>624</v>
      </c>
      <c r="C170" s="296" t="s">
        <v>172</v>
      </c>
      <c r="D170" s="296">
        <v>96977</v>
      </c>
      <c r="E170" s="297" t="s">
        <v>133</v>
      </c>
      <c r="F170" s="298">
        <v>4</v>
      </c>
      <c r="G170" s="299">
        <v>57.98</v>
      </c>
      <c r="H170" s="303">
        <f t="shared" si="62"/>
        <v>231.92</v>
      </c>
      <c r="I170" s="288">
        <f t="shared" si="63"/>
        <v>298.759344</v>
      </c>
      <c r="J170" s="323"/>
    </row>
    <row r="171" spans="1:13" s="54" customFormat="1" ht="38.25" x14ac:dyDescent="0.25">
      <c r="A171" s="77" t="s">
        <v>458</v>
      </c>
      <c r="B171" s="272" t="s">
        <v>717</v>
      </c>
      <c r="C171" s="284" t="s">
        <v>196</v>
      </c>
      <c r="D171" s="296" t="s">
        <v>483</v>
      </c>
      <c r="E171" s="297" t="s">
        <v>135</v>
      </c>
      <c r="F171" s="298">
        <v>3</v>
      </c>
      <c r="G171" s="299">
        <v>82.04</v>
      </c>
      <c r="H171" s="281">
        <f t="shared" si="62"/>
        <v>246.12</v>
      </c>
      <c r="I171" s="288">
        <f t="shared" si="63"/>
        <v>317.051784</v>
      </c>
      <c r="J171" s="323"/>
    </row>
    <row r="172" spans="1:13" s="54" customFormat="1" ht="39" thickBot="1" x14ac:dyDescent="0.3">
      <c r="A172" s="77" t="s">
        <v>459</v>
      </c>
      <c r="B172" s="272" t="s">
        <v>720</v>
      </c>
      <c r="C172" s="284" t="s">
        <v>196</v>
      </c>
      <c r="D172" s="284" t="s">
        <v>481</v>
      </c>
      <c r="E172" s="301" t="s">
        <v>133</v>
      </c>
      <c r="F172" s="302">
        <v>30</v>
      </c>
      <c r="G172" s="287">
        <v>88.86</v>
      </c>
      <c r="H172" s="281">
        <f t="shared" si="60"/>
        <v>2665.8</v>
      </c>
      <c r="I172" s="288">
        <f t="shared" si="56"/>
        <v>3434.0835600000005</v>
      </c>
      <c r="J172" s="323"/>
    </row>
    <row r="173" spans="1:13" s="54" customFormat="1" ht="15.75" thickBot="1" x14ac:dyDescent="0.3">
      <c r="A173" s="382">
        <v>7</v>
      </c>
      <c r="B173" s="388" t="s">
        <v>564</v>
      </c>
      <c r="C173" s="389"/>
      <c r="D173" s="389"/>
      <c r="E173" s="390"/>
      <c r="F173" s="391"/>
      <c r="G173" s="385"/>
      <c r="H173" s="392"/>
      <c r="I173" s="393"/>
      <c r="M173" s="57"/>
    </row>
    <row r="174" spans="1:13" s="54" customFormat="1" ht="25.5" x14ac:dyDescent="0.25">
      <c r="A174" s="312" t="s">
        <v>329</v>
      </c>
      <c r="B174" s="271" t="s">
        <v>622</v>
      </c>
      <c r="C174" s="277" t="s">
        <v>172</v>
      </c>
      <c r="D174" s="277">
        <v>96973</v>
      </c>
      <c r="E174" s="306" t="s">
        <v>133</v>
      </c>
      <c r="F174" s="310">
        <v>25</v>
      </c>
      <c r="G174" s="280">
        <v>62.91</v>
      </c>
      <c r="H174" s="281">
        <f t="shared" ref="H174" si="64">F174*G174</f>
        <v>1572.75</v>
      </c>
      <c r="I174" s="83">
        <f t="shared" ref="I174" si="65">H174*(1+$I$5)</f>
        <v>2026.0165500000001</v>
      </c>
      <c r="J174" s="323"/>
      <c r="M174" s="57"/>
    </row>
    <row r="175" spans="1:13" s="54" customFormat="1" ht="38.25" x14ac:dyDescent="0.25">
      <c r="A175" s="311" t="s">
        <v>460</v>
      </c>
      <c r="B175" s="295" t="s">
        <v>625</v>
      </c>
      <c r="C175" s="296" t="s">
        <v>172</v>
      </c>
      <c r="D175" s="296">
        <v>91872</v>
      </c>
      <c r="E175" s="297" t="s">
        <v>133</v>
      </c>
      <c r="F175" s="298">
        <v>3</v>
      </c>
      <c r="G175" s="299">
        <v>19.8</v>
      </c>
      <c r="H175" s="303">
        <f t="shared" ref="H175" si="66">F175*G175</f>
        <v>59.400000000000006</v>
      </c>
      <c r="I175" s="288">
        <f t="shared" ref="I175" si="67">H175*(1+$I$5)</f>
        <v>76.519080000000002</v>
      </c>
      <c r="J175" s="323"/>
      <c r="M175" s="57"/>
    </row>
    <row r="176" spans="1:13" s="54" customFormat="1" ht="25.5" x14ac:dyDescent="0.25">
      <c r="A176" s="311" t="s">
        <v>461</v>
      </c>
      <c r="B176" s="295" t="s">
        <v>623</v>
      </c>
      <c r="C176" s="296" t="s">
        <v>172</v>
      </c>
      <c r="D176" s="296">
        <v>96989</v>
      </c>
      <c r="E176" s="297" t="s">
        <v>135</v>
      </c>
      <c r="F176" s="298">
        <v>1</v>
      </c>
      <c r="G176" s="299">
        <v>145.08000000000001</v>
      </c>
      <c r="H176" s="303">
        <f t="shared" ref="H176" si="68">F176*G176</f>
        <v>145.08000000000001</v>
      </c>
      <c r="I176" s="288">
        <f t="shared" ref="I176" si="69">H176*(1+$I$5)</f>
        <v>186.89205600000003</v>
      </c>
      <c r="J176" s="323"/>
      <c r="M176" s="57"/>
    </row>
    <row r="177" spans="1:13" s="54" customFormat="1" ht="25.5" x14ac:dyDescent="0.25">
      <c r="A177" s="311" t="s">
        <v>462</v>
      </c>
      <c r="B177" s="295" t="s">
        <v>192</v>
      </c>
      <c r="C177" s="296" t="s">
        <v>172</v>
      </c>
      <c r="D177" s="296">
        <v>98111</v>
      </c>
      <c r="E177" s="297" t="s">
        <v>135</v>
      </c>
      <c r="F177" s="298">
        <v>3</v>
      </c>
      <c r="G177" s="299">
        <v>45.05</v>
      </c>
      <c r="H177" s="303">
        <f t="shared" ref="H177" si="70">F177*G177</f>
        <v>135.14999999999998</v>
      </c>
      <c r="I177" s="288">
        <f t="shared" ref="I177" si="71">H177*(1+$I$5)</f>
        <v>174.10022999999998</v>
      </c>
      <c r="J177" s="323"/>
      <c r="M177" s="57"/>
    </row>
    <row r="178" spans="1:13" s="54" customFormat="1" ht="25.5" x14ac:dyDescent="0.25">
      <c r="A178" s="311" t="s">
        <v>607</v>
      </c>
      <c r="B178" s="272" t="s">
        <v>680</v>
      </c>
      <c r="C178" s="284" t="s">
        <v>196</v>
      </c>
      <c r="D178" s="284" t="s">
        <v>738</v>
      </c>
      <c r="E178" s="301" t="s">
        <v>135</v>
      </c>
      <c r="F178" s="302">
        <v>3</v>
      </c>
      <c r="G178" s="287">
        <v>108.28</v>
      </c>
      <c r="H178" s="303">
        <f t="shared" ref="H178" si="72">F178*G178</f>
        <v>324.84000000000003</v>
      </c>
      <c r="I178" s="288">
        <f t="shared" ref="I178" si="73">H178*(1+$I$5)</f>
        <v>418.45888800000006</v>
      </c>
      <c r="J178" s="323"/>
      <c r="M178" s="57"/>
    </row>
    <row r="179" spans="1:13" s="54" customFormat="1" ht="26.25" thickBot="1" x14ac:dyDescent="0.3">
      <c r="A179" s="313" t="s">
        <v>722</v>
      </c>
      <c r="B179" s="295" t="s">
        <v>624</v>
      </c>
      <c r="C179" s="296" t="s">
        <v>172</v>
      </c>
      <c r="D179" s="296">
        <v>96977</v>
      </c>
      <c r="E179" s="297" t="s">
        <v>133</v>
      </c>
      <c r="F179" s="298">
        <v>15</v>
      </c>
      <c r="G179" s="299">
        <v>57.98</v>
      </c>
      <c r="H179" s="300">
        <f t="shared" ref="H179" si="74">F179*G179</f>
        <v>869.69999999999993</v>
      </c>
      <c r="I179" s="305">
        <f t="shared" ref="I179" si="75">H179*(1+$I$5)</f>
        <v>1120.34754</v>
      </c>
      <c r="J179" s="323"/>
      <c r="M179" s="57"/>
    </row>
    <row r="180" spans="1:13" s="54" customFormat="1" ht="15.75" thickBot="1" x14ac:dyDescent="0.3">
      <c r="A180" s="382">
        <v>8</v>
      </c>
      <c r="B180" s="388" t="s">
        <v>199</v>
      </c>
      <c r="C180" s="389"/>
      <c r="D180" s="389"/>
      <c r="E180" s="390"/>
      <c r="F180" s="391"/>
      <c r="G180" s="385"/>
      <c r="H180" s="392"/>
      <c r="I180" s="393"/>
      <c r="M180" s="57"/>
    </row>
    <row r="181" spans="1:13" s="54" customFormat="1" ht="25.5" x14ac:dyDescent="0.25">
      <c r="A181" s="225" t="s">
        <v>330</v>
      </c>
      <c r="B181" s="276" t="s">
        <v>331</v>
      </c>
      <c r="C181" s="277" t="s">
        <v>172</v>
      </c>
      <c r="D181" s="277">
        <v>101908</v>
      </c>
      <c r="E181" s="306" t="s">
        <v>135</v>
      </c>
      <c r="F181" s="310">
        <v>1</v>
      </c>
      <c r="G181" s="280">
        <v>195.24</v>
      </c>
      <c r="H181" s="281">
        <f>F181*G181</f>
        <v>195.24</v>
      </c>
      <c r="I181" s="83">
        <f>H181*(1+$I$5)</f>
        <v>251.50816800000001</v>
      </c>
      <c r="J181" s="323"/>
    </row>
    <row r="182" spans="1:13" s="54" customFormat="1" ht="51" x14ac:dyDescent="0.25">
      <c r="A182" s="225" t="s">
        <v>723</v>
      </c>
      <c r="B182" s="283" t="s">
        <v>221</v>
      </c>
      <c r="C182" s="284" t="s">
        <v>196</v>
      </c>
      <c r="D182" s="284" t="s">
        <v>480</v>
      </c>
      <c r="E182" s="301" t="s">
        <v>135</v>
      </c>
      <c r="F182" s="302">
        <v>1</v>
      </c>
      <c r="G182" s="287">
        <v>7.04</v>
      </c>
      <c r="H182" s="281">
        <f>F182*G182</f>
        <v>7.04</v>
      </c>
      <c r="I182" s="288">
        <f>H182*(1+$I$5)</f>
        <v>9.0689279999999997</v>
      </c>
      <c r="J182" s="323"/>
    </row>
    <row r="183" spans="1:13" s="54" customFormat="1" ht="63.75" x14ac:dyDescent="0.25">
      <c r="A183" s="225" t="s">
        <v>724</v>
      </c>
      <c r="B183" s="283" t="s">
        <v>222</v>
      </c>
      <c r="C183" s="284" t="s">
        <v>196</v>
      </c>
      <c r="D183" s="284" t="s">
        <v>479</v>
      </c>
      <c r="E183" s="301" t="s">
        <v>135</v>
      </c>
      <c r="F183" s="302">
        <v>4</v>
      </c>
      <c r="G183" s="287">
        <v>11.07</v>
      </c>
      <c r="H183" s="281">
        <f>F183*G183</f>
        <v>44.28</v>
      </c>
      <c r="I183" s="288">
        <f>H183*(1+$I$5)</f>
        <v>57.041496000000002</v>
      </c>
      <c r="J183" s="323"/>
    </row>
    <row r="184" spans="1:13" s="54" customFormat="1" ht="63.75" x14ac:dyDescent="0.25">
      <c r="A184" s="225" t="s">
        <v>725</v>
      </c>
      <c r="B184" s="283" t="s">
        <v>606</v>
      </c>
      <c r="C184" s="284" t="s">
        <v>196</v>
      </c>
      <c r="D184" s="284" t="s">
        <v>479</v>
      </c>
      <c r="E184" s="301" t="s">
        <v>135</v>
      </c>
      <c r="F184" s="302">
        <v>1</v>
      </c>
      <c r="G184" s="287">
        <v>11.07</v>
      </c>
      <c r="H184" s="281">
        <f>F184*G184</f>
        <v>11.07</v>
      </c>
      <c r="I184" s="288">
        <f>H184*(1+$I$5)</f>
        <v>14.260374000000001</v>
      </c>
      <c r="J184" s="323"/>
    </row>
    <row r="185" spans="1:13" s="54" customFormat="1" ht="51.75" thickBot="1" x14ac:dyDescent="0.3">
      <c r="A185" s="225" t="s">
        <v>726</v>
      </c>
      <c r="B185" s="376" t="s">
        <v>223</v>
      </c>
      <c r="C185" s="290" t="s">
        <v>196</v>
      </c>
      <c r="D185" s="284" t="s">
        <v>479</v>
      </c>
      <c r="E185" s="291" t="s">
        <v>135</v>
      </c>
      <c r="F185" s="292">
        <v>1</v>
      </c>
      <c r="G185" s="287">
        <v>11.07</v>
      </c>
      <c r="H185" s="281">
        <f>F185*G185</f>
        <v>11.07</v>
      </c>
      <c r="I185" s="288">
        <f>H185*(1+$I$5)</f>
        <v>14.260374000000001</v>
      </c>
      <c r="J185" s="323"/>
    </row>
    <row r="186" spans="1:13" s="54" customFormat="1" ht="15.75" thickBot="1" x14ac:dyDescent="0.3">
      <c r="A186" s="382">
        <v>9</v>
      </c>
      <c r="B186" s="388" t="s">
        <v>174</v>
      </c>
      <c r="C186" s="389"/>
      <c r="D186" s="389"/>
      <c r="E186" s="390"/>
      <c r="F186" s="391"/>
      <c r="G186" s="385"/>
      <c r="H186" s="392"/>
      <c r="I186" s="393"/>
    </row>
    <row r="187" spans="1:13" s="54" customFormat="1" ht="26.25" thickBot="1" x14ac:dyDescent="0.3">
      <c r="A187" s="78" t="s">
        <v>463</v>
      </c>
      <c r="B187" s="289" t="s">
        <v>175</v>
      </c>
      <c r="C187" s="290" t="s">
        <v>202</v>
      </c>
      <c r="D187" s="290" t="s">
        <v>730</v>
      </c>
      <c r="E187" s="291" t="s">
        <v>135</v>
      </c>
      <c r="F187" s="292">
        <v>1</v>
      </c>
      <c r="G187" s="293">
        <f>(5750+7303.65)/2</f>
        <v>6526.8249999999998</v>
      </c>
      <c r="H187" s="294">
        <f>F187*G187</f>
        <v>6526.8249999999998</v>
      </c>
      <c r="I187" s="308">
        <f>H187*(1+$I$5)</f>
        <v>8407.8559650000007</v>
      </c>
      <c r="J187" s="323"/>
    </row>
    <row r="188" spans="1:13" s="54" customFormat="1" ht="15.75" thickBot="1" x14ac:dyDescent="0.3">
      <c r="A188" s="382">
        <v>10</v>
      </c>
      <c r="B188" s="388" t="s">
        <v>246</v>
      </c>
      <c r="C188" s="389"/>
      <c r="D188" s="389"/>
      <c r="E188" s="390"/>
      <c r="F188" s="391"/>
      <c r="G188" s="385"/>
      <c r="H188" s="392"/>
      <c r="I188" s="393"/>
    </row>
    <row r="189" spans="1:13" s="54" customFormat="1" x14ac:dyDescent="0.25">
      <c r="A189" s="78" t="s">
        <v>727</v>
      </c>
      <c r="B189" s="84" t="s">
        <v>184</v>
      </c>
      <c r="C189" s="277" t="s">
        <v>172</v>
      </c>
      <c r="D189" s="85">
        <v>88264</v>
      </c>
      <c r="E189" s="86" t="s">
        <v>136</v>
      </c>
      <c r="F189" s="257">
        <v>16</v>
      </c>
      <c r="G189" s="252">
        <v>27.95</v>
      </c>
      <c r="H189" s="253">
        <f>F189*G189</f>
        <v>447.2</v>
      </c>
      <c r="I189" s="83">
        <f>H189*(1+$I$5)</f>
        <v>576.08303999999998</v>
      </c>
      <c r="J189" s="323"/>
    </row>
    <row r="190" spans="1:13" s="54" customFormat="1" x14ac:dyDescent="0.25">
      <c r="A190" s="78" t="s">
        <v>728</v>
      </c>
      <c r="B190" s="272" t="s">
        <v>138</v>
      </c>
      <c r="C190" s="284" t="s">
        <v>172</v>
      </c>
      <c r="D190" s="284">
        <v>88316</v>
      </c>
      <c r="E190" s="301" t="s">
        <v>136</v>
      </c>
      <c r="F190" s="302">
        <v>20</v>
      </c>
      <c r="G190" s="287">
        <v>21.37</v>
      </c>
      <c r="H190" s="303">
        <f>F190*G190</f>
        <v>427.40000000000003</v>
      </c>
      <c r="I190" s="288">
        <f>H190*(1+$I$5)</f>
        <v>550.57668000000001</v>
      </c>
      <c r="J190" s="323"/>
    </row>
    <row r="191" spans="1:13" s="54" customFormat="1" ht="15.75" thickBot="1" x14ac:dyDescent="0.3">
      <c r="A191" s="78" t="s">
        <v>729</v>
      </c>
      <c r="B191" s="289" t="s">
        <v>470</v>
      </c>
      <c r="C191" s="290" t="s">
        <v>172</v>
      </c>
      <c r="D191" s="290">
        <v>88269</v>
      </c>
      <c r="E191" s="291" t="s">
        <v>136</v>
      </c>
      <c r="F191" s="292">
        <v>10</v>
      </c>
      <c r="G191" s="293">
        <v>26.53</v>
      </c>
      <c r="H191" s="294">
        <f>F191*G191</f>
        <v>265.3</v>
      </c>
      <c r="I191" s="305">
        <f>H191*(1+$I$5)</f>
        <v>341.75945999999999</v>
      </c>
      <c r="J191" s="323"/>
    </row>
    <row r="192" spans="1:13" ht="15.75" thickBot="1" x14ac:dyDescent="0.3">
      <c r="A192" s="382"/>
      <c r="B192" s="383"/>
      <c r="C192" s="381"/>
      <c r="D192" s="381"/>
      <c r="E192" s="383"/>
      <c r="F192" s="384"/>
      <c r="G192" s="385" t="s">
        <v>171</v>
      </c>
      <c r="H192" s="386">
        <f>SUM(H13:H191)</f>
        <v>178296.79979999998</v>
      </c>
      <c r="I192" s="387">
        <f>SUM(I12:I191)</f>
        <v>229614.52752236009</v>
      </c>
    </row>
    <row r="194" spans="1:3" ht="15.75" thickBot="1" x14ac:dyDescent="0.3"/>
    <row r="195" spans="1:3" ht="15.75" thickBot="1" x14ac:dyDescent="0.3">
      <c r="A195" s="422" t="s">
        <v>559</v>
      </c>
      <c r="B195" s="423"/>
      <c r="C195" s="424"/>
    </row>
    <row r="196" spans="1:3" x14ac:dyDescent="0.25">
      <c r="A196" s="230">
        <v>1</v>
      </c>
      <c r="B196" s="233" t="s">
        <v>562</v>
      </c>
      <c r="C196" s="377">
        <f>SUM(I13:I14)</f>
        <v>2541.8391200000001</v>
      </c>
    </row>
    <row r="197" spans="1:3" ht="30" x14ac:dyDescent="0.25">
      <c r="A197" s="231">
        <v>2</v>
      </c>
      <c r="B197" s="234" t="s">
        <v>612</v>
      </c>
      <c r="C197" s="378">
        <f>SUM(I16:I33)</f>
        <v>10392.559683359999</v>
      </c>
    </row>
    <row r="198" spans="1:3" x14ac:dyDescent="0.25">
      <c r="A198" s="231">
        <v>3</v>
      </c>
      <c r="B198" s="235" t="s">
        <v>235</v>
      </c>
      <c r="C198" s="378">
        <f>SUM(I35:I41)</f>
        <v>42432.341850000004</v>
      </c>
    </row>
    <row r="199" spans="1:3" x14ac:dyDescent="0.25">
      <c r="A199" s="231">
        <v>4</v>
      </c>
      <c r="B199" s="235" t="s">
        <v>555</v>
      </c>
      <c r="C199" s="378">
        <f>SUM(I44:I49)</f>
        <v>18936.810522</v>
      </c>
    </row>
    <row r="200" spans="1:3" x14ac:dyDescent="0.25">
      <c r="A200" s="231">
        <v>5</v>
      </c>
      <c r="B200" s="235" t="s">
        <v>556</v>
      </c>
      <c r="C200" s="378">
        <f>SUM(I51:I54)</f>
        <v>16233.896400000001</v>
      </c>
    </row>
    <row r="201" spans="1:3" x14ac:dyDescent="0.25">
      <c r="A201" s="231">
        <v>6</v>
      </c>
      <c r="B201" s="235" t="s">
        <v>563</v>
      </c>
      <c r="C201" s="378">
        <f>SUM(I56:I71)</f>
        <v>38305.023765599995</v>
      </c>
    </row>
    <row r="202" spans="1:3" x14ac:dyDescent="0.25">
      <c r="A202" s="231">
        <v>7</v>
      </c>
      <c r="B202" s="235" t="s">
        <v>557</v>
      </c>
      <c r="C202" s="378">
        <f>SUM(I73:I79)</f>
        <v>14360.650064399999</v>
      </c>
    </row>
    <row r="203" spans="1:3" x14ac:dyDescent="0.25">
      <c r="A203" s="231">
        <v>8</v>
      </c>
      <c r="B203" s="235" t="s">
        <v>558</v>
      </c>
      <c r="C203" s="378">
        <f>SUM(I81:I84)</f>
        <v>2279.1736139999998</v>
      </c>
    </row>
    <row r="204" spans="1:3" x14ac:dyDescent="0.25">
      <c r="A204" s="231">
        <v>9</v>
      </c>
      <c r="B204" s="235" t="s">
        <v>227</v>
      </c>
      <c r="C204" s="378">
        <f>SUM(I86:I117)</f>
        <v>6281.5723680000019</v>
      </c>
    </row>
    <row r="205" spans="1:3" x14ac:dyDescent="0.25">
      <c r="A205" s="231">
        <v>10</v>
      </c>
      <c r="B205" s="235" t="s">
        <v>564</v>
      </c>
      <c r="C205" s="378">
        <f>SUM(I174:I179)</f>
        <v>4002.3343439999999</v>
      </c>
    </row>
    <row r="206" spans="1:3" x14ac:dyDescent="0.25">
      <c r="A206" s="231">
        <v>11</v>
      </c>
      <c r="B206" s="235" t="s">
        <v>176</v>
      </c>
      <c r="C206" s="378">
        <f>SUM(I119:I172)</f>
        <v>63625.911306000009</v>
      </c>
    </row>
    <row r="207" spans="1:3" x14ac:dyDescent="0.25">
      <c r="A207" s="231">
        <v>12</v>
      </c>
      <c r="B207" s="235" t="s">
        <v>199</v>
      </c>
      <c r="C207" s="378">
        <f>SUM(I181:I185)</f>
        <v>346.13934</v>
      </c>
    </row>
    <row r="208" spans="1:3" x14ac:dyDescent="0.25">
      <c r="A208" s="231">
        <v>13</v>
      </c>
      <c r="B208" s="235" t="s">
        <v>174</v>
      </c>
      <c r="C208" s="378">
        <f>I187</f>
        <v>8407.8559650000007</v>
      </c>
    </row>
    <row r="209" spans="1:3" ht="15.75" thickBot="1" x14ac:dyDescent="0.3">
      <c r="A209" s="232">
        <v>14</v>
      </c>
      <c r="B209" s="236" t="s">
        <v>246</v>
      </c>
      <c r="C209" s="379">
        <f>SUM(I189:I191)</f>
        <v>1468.4191800000001</v>
      </c>
    </row>
    <row r="210" spans="1:3" ht="15.75" thickBot="1" x14ac:dyDescent="0.3">
      <c r="A210" s="422" t="s">
        <v>560</v>
      </c>
      <c r="B210" s="424"/>
      <c r="C210" s="380">
        <f>SUM(C196:C209)</f>
        <v>229614.52752236</v>
      </c>
    </row>
  </sheetData>
  <mergeCells count="10">
    <mergeCell ref="A195:C195"/>
    <mergeCell ref="A210:B210"/>
    <mergeCell ref="A10:A11"/>
    <mergeCell ref="B10:B11"/>
    <mergeCell ref="C10:C11"/>
    <mergeCell ref="D10:D11"/>
    <mergeCell ref="E10:E11"/>
    <mergeCell ref="F10:F11"/>
    <mergeCell ref="G10:I10"/>
    <mergeCell ref="A1:I1"/>
  </mergeCells>
  <phoneticPr fontId="20" type="noConversion"/>
  <pageMargins left="0.51181102362204722" right="0.51181102362204722" top="0.78740157480314965" bottom="0.78740157480314965" header="0.31496062992125984" footer="0.31496062992125984"/>
  <pageSetup paperSize="9" scale="6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3"/>
  <sheetViews>
    <sheetView view="pageBreakPreview" zoomScale="85" zoomScaleNormal="100" zoomScaleSheetLayoutView="85" workbookViewId="0">
      <selection activeCell="C30" sqref="C30"/>
    </sheetView>
  </sheetViews>
  <sheetFormatPr defaultRowHeight="12.75" x14ac:dyDescent="0.2"/>
  <cols>
    <col min="1" max="1" width="13.28515625" style="8" customWidth="1"/>
    <col min="2" max="2" width="37.85546875" style="8" customWidth="1"/>
    <col min="3" max="3" width="15.140625" style="8" bestFit="1" customWidth="1"/>
    <col min="4" max="4" width="11" style="8" bestFit="1" customWidth="1"/>
    <col min="5" max="5" width="14" style="40" customWidth="1"/>
    <col min="6" max="6" width="23.42578125" style="8" customWidth="1"/>
    <col min="7" max="8" width="12" style="8" bestFit="1" customWidth="1"/>
    <col min="9" max="9" width="15.140625" style="8" bestFit="1" customWidth="1"/>
    <col min="10" max="10" width="9.140625" style="8"/>
    <col min="11" max="11" width="25.140625" style="8" bestFit="1" customWidth="1"/>
    <col min="12" max="16384" width="9.140625" style="8"/>
  </cols>
  <sheetData>
    <row r="1" spans="1:11" s="1" customFormat="1" x14ac:dyDescent="0.2">
      <c r="E1" s="2"/>
    </row>
    <row r="2" spans="1:11" s="1" customFormat="1" x14ac:dyDescent="0.2">
      <c r="E2" s="2"/>
    </row>
    <row r="3" spans="1:11" s="1" customFormat="1" ht="15" customHeight="1" x14ac:dyDescent="0.2">
      <c r="B3" s="425" t="s">
        <v>131</v>
      </c>
      <c r="C3" s="425"/>
      <c r="D3" s="425"/>
      <c r="E3" s="425"/>
      <c r="F3" s="425"/>
      <c r="G3" s="425"/>
      <c r="H3" s="425"/>
      <c r="I3" s="425"/>
    </row>
    <row r="4" spans="1:11" s="1" customFormat="1" x14ac:dyDescent="0.2">
      <c r="B4" s="425"/>
      <c r="C4" s="425"/>
      <c r="D4" s="425"/>
      <c r="E4" s="425"/>
      <c r="F4" s="425"/>
      <c r="G4" s="425"/>
      <c r="H4" s="425"/>
      <c r="I4" s="425"/>
    </row>
    <row r="5" spans="1:11" s="1" customFormat="1" x14ac:dyDescent="0.2">
      <c r="B5" s="425"/>
      <c r="C5" s="425"/>
      <c r="D5" s="425"/>
      <c r="E5" s="425"/>
      <c r="F5" s="425"/>
      <c r="G5" s="425"/>
      <c r="H5" s="425"/>
      <c r="I5" s="425"/>
    </row>
    <row r="6" spans="1:11" s="1" customFormat="1" x14ac:dyDescent="0.2">
      <c r="B6" s="425"/>
      <c r="C6" s="425"/>
      <c r="D6" s="425"/>
      <c r="E6" s="425"/>
      <c r="F6" s="425"/>
      <c r="G6" s="425"/>
      <c r="H6" s="425"/>
      <c r="I6" s="425"/>
    </row>
    <row r="7" spans="1:11" s="1" customFormat="1" x14ac:dyDescent="0.2">
      <c r="B7" s="425"/>
      <c r="C7" s="425"/>
      <c r="D7" s="425"/>
      <c r="E7" s="425"/>
      <c r="F7" s="425"/>
      <c r="G7" s="425"/>
      <c r="H7" s="425"/>
      <c r="I7" s="425"/>
    </row>
    <row r="8" spans="1:11" s="1" customFormat="1" ht="15" x14ac:dyDescent="0.25">
      <c r="B8" s="3"/>
      <c r="C8" s="4"/>
      <c r="D8" s="5"/>
      <c r="E8" s="5"/>
      <c r="F8" s="5"/>
      <c r="G8" s="5"/>
      <c r="H8" s="5"/>
      <c r="I8" s="5"/>
    </row>
    <row r="9" spans="1:11" s="1" customFormat="1" ht="15.75" x14ac:dyDescent="0.25">
      <c r="A9" s="6"/>
      <c r="B9" s="426" t="s">
        <v>2</v>
      </c>
      <c r="C9" s="426"/>
      <c r="D9" s="426"/>
      <c r="E9" s="426"/>
      <c r="F9" s="426"/>
      <c r="G9" s="426"/>
      <c r="H9" s="426"/>
      <c r="I9" s="426"/>
    </row>
    <row r="10" spans="1:11" s="1" customFormat="1" ht="13.5" thickBot="1" x14ac:dyDescent="0.25">
      <c r="E10" s="2"/>
    </row>
    <row r="11" spans="1:11" ht="13.5" thickBot="1" x14ac:dyDescent="0.25">
      <c r="A11" s="433" t="s">
        <v>3</v>
      </c>
      <c r="B11" s="434"/>
      <c r="C11" s="434"/>
      <c r="D11" s="434"/>
      <c r="E11" s="434"/>
      <c r="F11" s="434"/>
      <c r="G11" s="434"/>
      <c r="H11" s="435"/>
      <c r="I11" s="7">
        <f>'[1]FOLHA FECHAMENTO'!$G$23</f>
        <v>0</v>
      </c>
    </row>
    <row r="12" spans="1:11" s="9" customFormat="1" ht="13.5" thickBot="1" x14ac:dyDescent="0.3">
      <c r="A12" s="436" t="s">
        <v>0</v>
      </c>
      <c r="B12" s="436" t="s">
        <v>4</v>
      </c>
      <c r="C12" s="436" t="s">
        <v>5</v>
      </c>
      <c r="D12" s="436" t="s">
        <v>6</v>
      </c>
      <c r="E12" s="437" t="s">
        <v>7</v>
      </c>
      <c r="F12" s="437" t="s">
        <v>8</v>
      </c>
      <c r="G12" s="436" t="s">
        <v>9</v>
      </c>
      <c r="H12" s="436"/>
      <c r="I12" s="436"/>
    </row>
    <row r="13" spans="1:11" s="9" customFormat="1" ht="13.5" thickBot="1" x14ac:dyDescent="0.3">
      <c r="A13" s="436"/>
      <c r="B13" s="436"/>
      <c r="C13" s="436"/>
      <c r="D13" s="436"/>
      <c r="E13" s="438"/>
      <c r="F13" s="438"/>
      <c r="G13" s="10" t="s">
        <v>10</v>
      </c>
      <c r="H13" s="10" t="s">
        <v>11</v>
      </c>
      <c r="I13" s="10" t="s">
        <v>12</v>
      </c>
    </row>
    <row r="14" spans="1:11" ht="13.5" thickBot="1" x14ac:dyDescent="0.25">
      <c r="A14" s="11">
        <v>1</v>
      </c>
      <c r="B14" s="12" t="s">
        <v>13</v>
      </c>
      <c r="C14" s="13">
        <f>D14*$I$11</f>
        <v>0</v>
      </c>
      <c r="D14" s="14">
        <v>0.03</v>
      </c>
      <c r="E14" s="11"/>
      <c r="F14" s="11" t="str">
        <f>IF(AND(D14&gt;=G14,D14&lt;=I14),"OK","DIFERE")</f>
        <v>OK</v>
      </c>
      <c r="G14" s="15">
        <v>0.03</v>
      </c>
      <c r="H14" s="15">
        <v>0.04</v>
      </c>
      <c r="I14" s="15">
        <v>5.5E-2</v>
      </c>
      <c r="J14" s="8" t="s">
        <v>14</v>
      </c>
      <c r="K14" s="8" t="s">
        <v>15</v>
      </c>
    </row>
    <row r="15" spans="1:11" ht="13.5" thickBot="1" x14ac:dyDescent="0.25">
      <c r="A15" s="11">
        <v>2</v>
      </c>
      <c r="B15" s="12" t="s">
        <v>16</v>
      </c>
      <c r="C15" s="13">
        <f>D15*$I$11</f>
        <v>0</v>
      </c>
      <c r="D15" s="16">
        <v>8.0000000000000002E-3</v>
      </c>
      <c r="E15" s="11"/>
      <c r="F15" s="11" t="str">
        <f>IF(AND(D15&gt;=G15,D15&lt;=I15),"OK","DIFERE")</f>
        <v>OK</v>
      </c>
      <c r="G15" s="15">
        <v>8.0000000000000002E-3</v>
      </c>
      <c r="H15" s="15">
        <v>8.0000000000000002E-3</v>
      </c>
      <c r="I15" s="15">
        <v>0.01</v>
      </c>
      <c r="J15" s="8" t="s">
        <v>17</v>
      </c>
      <c r="K15" s="8" t="s">
        <v>18</v>
      </c>
    </row>
    <row r="16" spans="1:11" ht="13.5" thickBot="1" x14ac:dyDescent="0.25">
      <c r="A16" s="11">
        <v>3</v>
      </c>
      <c r="B16" s="12" t="s">
        <v>19</v>
      </c>
      <c r="C16" s="13">
        <f>D16*$I$11</f>
        <v>0</v>
      </c>
      <c r="D16" s="16">
        <v>9.7000000000000003E-3</v>
      </c>
      <c r="E16" s="11"/>
      <c r="F16" s="11" t="str">
        <f>IF(AND(D16&gt;=G16,D16&lt;=I16),"OK","DIFERE")</f>
        <v>OK</v>
      </c>
      <c r="G16" s="15">
        <v>9.7000000000000003E-3</v>
      </c>
      <c r="H16" s="15">
        <v>1.2699999999999999E-2</v>
      </c>
      <c r="I16" s="15">
        <v>1.2699999999999999E-2</v>
      </c>
      <c r="J16" s="8" t="s">
        <v>20</v>
      </c>
      <c r="K16" s="8" t="s">
        <v>21</v>
      </c>
    </row>
    <row r="17" spans="1:11" ht="13.5" thickBot="1" x14ac:dyDescent="0.25">
      <c r="A17" s="11">
        <v>4</v>
      </c>
      <c r="B17" s="12" t="s">
        <v>22</v>
      </c>
      <c r="C17" s="13">
        <f>D17*($I$11+C14+C15+C16)</f>
        <v>0</v>
      </c>
      <c r="D17" s="16">
        <v>5.8999999999999999E-3</v>
      </c>
      <c r="E17" s="11"/>
      <c r="F17" s="11" t="str">
        <f>IF(AND(D17&gt;=G17,D17&lt;=I17),"OK","DIFERE")</f>
        <v>OK</v>
      </c>
      <c r="G17" s="15">
        <v>5.8999999999999999E-3</v>
      </c>
      <c r="H17" s="15">
        <v>1.23E-2</v>
      </c>
      <c r="I17" s="15">
        <v>1.3899999999999999E-2</v>
      </c>
      <c r="J17" s="8" t="s">
        <v>23</v>
      </c>
      <c r="K17" s="8" t="s">
        <v>24</v>
      </c>
    </row>
    <row r="18" spans="1:11" ht="13.5" thickBot="1" x14ac:dyDescent="0.25">
      <c r="A18" s="11">
        <v>5</v>
      </c>
      <c r="B18" s="12" t="s">
        <v>25</v>
      </c>
      <c r="C18" s="13">
        <f>D18*($I$11+C14+C15+C16+C17)</f>
        <v>0</v>
      </c>
      <c r="D18" s="16">
        <v>6.1600000000000002E-2</v>
      </c>
      <c r="E18" s="11"/>
      <c r="F18" s="11" t="str">
        <f>IF(AND(D18&gt;=G18,D18&lt;=I18),"OK","DIFERE")</f>
        <v>OK</v>
      </c>
      <c r="G18" s="15">
        <v>6.1600000000000002E-2</v>
      </c>
      <c r="H18" s="15">
        <v>7.3999999999999996E-2</v>
      </c>
      <c r="I18" s="15">
        <v>8.9599999999999999E-2</v>
      </c>
      <c r="J18" s="8" t="s">
        <v>26</v>
      </c>
      <c r="K18" s="8" t="s">
        <v>27</v>
      </c>
    </row>
    <row r="19" spans="1:11" ht="13.5" thickBot="1" x14ac:dyDescent="0.25">
      <c r="A19" s="11">
        <v>6</v>
      </c>
      <c r="B19" s="17" t="s">
        <v>28</v>
      </c>
      <c r="C19" s="18">
        <f>D19*$I$11*(1+D26)</f>
        <v>0</v>
      </c>
      <c r="D19" s="19">
        <f>SUM(D20:D23)</f>
        <v>0.13150000000000001</v>
      </c>
      <c r="E19" s="20"/>
      <c r="F19" s="1"/>
      <c r="G19" s="21"/>
      <c r="H19" s="21"/>
      <c r="I19" s="22"/>
      <c r="J19" s="8" t="s">
        <v>29</v>
      </c>
      <c r="K19" s="8" t="s">
        <v>30</v>
      </c>
    </row>
    <row r="20" spans="1:11" ht="13.5" thickBot="1" x14ac:dyDescent="0.25">
      <c r="A20" s="23" t="s">
        <v>31</v>
      </c>
      <c r="B20" s="439" t="s">
        <v>32</v>
      </c>
      <c r="C20" s="440"/>
      <c r="D20" s="16">
        <v>6.4999999999999997E-3</v>
      </c>
      <c r="E20" s="20"/>
      <c r="F20" s="1"/>
      <c r="G20" s="1"/>
      <c r="H20" s="1"/>
      <c r="I20" s="24"/>
    </row>
    <row r="21" spans="1:11" ht="13.5" thickBot="1" x14ac:dyDescent="0.25">
      <c r="A21" s="23" t="s">
        <v>33</v>
      </c>
      <c r="B21" s="439" t="s">
        <v>34</v>
      </c>
      <c r="C21" s="440"/>
      <c r="D21" s="16">
        <v>0.03</v>
      </c>
      <c r="E21" s="20"/>
      <c r="F21" s="1"/>
      <c r="G21" s="1"/>
      <c r="H21" s="1"/>
      <c r="I21" s="24"/>
    </row>
    <row r="22" spans="1:11" ht="13.5" thickBot="1" x14ac:dyDescent="0.25">
      <c r="A22" s="23" t="s">
        <v>35</v>
      </c>
      <c r="B22" s="439" t="s">
        <v>36</v>
      </c>
      <c r="C22" s="440"/>
      <c r="D22" s="16">
        <v>0.05</v>
      </c>
      <c r="E22" s="20"/>
      <c r="F22" s="1"/>
      <c r="G22" s="1"/>
      <c r="H22" s="1"/>
      <c r="I22" s="24"/>
    </row>
    <row r="23" spans="1:11" ht="13.5" thickBot="1" x14ac:dyDescent="0.25">
      <c r="A23" s="23" t="s">
        <v>37</v>
      </c>
      <c r="B23" s="439" t="s">
        <v>38</v>
      </c>
      <c r="C23" s="441"/>
      <c r="D23" s="25">
        <v>4.4999999999999998E-2</v>
      </c>
      <c r="E23" s="20"/>
      <c r="F23" s="1"/>
      <c r="G23" s="1"/>
      <c r="H23" s="1"/>
      <c r="I23" s="24"/>
    </row>
    <row r="24" spans="1:11" ht="13.5" thickBot="1" x14ac:dyDescent="0.25">
      <c r="A24" s="427" t="s">
        <v>39</v>
      </c>
      <c r="B24" s="427"/>
      <c r="C24" s="26">
        <f>SUM(C14:C19)</f>
        <v>0</v>
      </c>
      <c r="D24" s="11"/>
      <c r="E24" s="11"/>
      <c r="F24" s="430" t="s">
        <v>40</v>
      </c>
      <c r="G24" s="431"/>
      <c r="H24" s="431"/>
      <c r="I24" s="432"/>
    </row>
    <row r="25" spans="1:11" ht="13.5" thickBot="1" x14ac:dyDescent="0.25">
      <c r="A25" s="427" t="s">
        <v>41</v>
      </c>
      <c r="B25" s="427"/>
      <c r="C25" s="26">
        <f>C24+I11</f>
        <v>0</v>
      </c>
      <c r="D25" s="11"/>
      <c r="E25" s="11"/>
      <c r="F25" s="27" t="s">
        <v>42</v>
      </c>
      <c r="G25" s="15">
        <v>0.2034</v>
      </c>
      <c r="H25" s="15">
        <v>0.22120000000000001</v>
      </c>
      <c r="I25" s="15">
        <v>0.25</v>
      </c>
      <c r="K25" s="28"/>
    </row>
    <row r="26" spans="1:11" ht="13.5" thickBot="1" x14ac:dyDescent="0.25">
      <c r="A26" s="427" t="s">
        <v>43</v>
      </c>
      <c r="B26" s="427"/>
      <c r="C26" s="427"/>
      <c r="D26" s="29">
        <f>(((1+$D14+$D15+$D16)*(1+$D17)*(1+$D18)/(1-$D19)))-1</f>
        <v>0.2881986483454233</v>
      </c>
      <c r="E26" s="11" t="str">
        <f>IF(AND($D26&gt;=$G26,$D26&lt;=$I26),"OK","DIFERE")</f>
        <v>OK</v>
      </c>
      <c r="F26" s="27" t="s">
        <v>44</v>
      </c>
      <c r="G26" s="15">
        <f>((G25+1)*(1-E29))/((1-E29)-D23)-1</f>
        <v>0.2601047120418849</v>
      </c>
      <c r="H26" s="15">
        <f>((H25+1)*(1-E29))/((1-E29)-D23)-1</f>
        <v>0.27874345549738222</v>
      </c>
      <c r="I26" s="15">
        <f>((I25+1)*(1-E29))/((1-E29)-D23)-1</f>
        <v>0.30890052356020958</v>
      </c>
    </row>
    <row r="27" spans="1:11" ht="13.5" thickBot="1" x14ac:dyDescent="0.25">
      <c r="A27" s="1"/>
      <c r="B27" s="1"/>
      <c r="C27" s="1"/>
      <c r="D27" s="1"/>
      <c r="E27" s="2"/>
      <c r="F27" s="1"/>
      <c r="G27" s="1"/>
      <c r="H27" s="1"/>
      <c r="I27" s="1"/>
    </row>
    <row r="28" spans="1:11" x14ac:dyDescent="0.2">
      <c r="A28" s="1"/>
      <c r="B28" s="1"/>
      <c r="C28" s="1"/>
      <c r="D28" s="1"/>
      <c r="E28" s="2"/>
      <c r="F28" s="30" t="s">
        <v>45</v>
      </c>
      <c r="G28" s="31"/>
      <c r="H28" s="31"/>
      <c r="I28" s="32"/>
    </row>
    <row r="29" spans="1:11" x14ac:dyDescent="0.2">
      <c r="A29" s="1"/>
      <c r="B29" s="1"/>
      <c r="C29" s="1"/>
      <c r="D29" s="1"/>
      <c r="E29" s="2"/>
      <c r="F29" s="33"/>
      <c r="G29" s="1"/>
      <c r="H29" s="1"/>
      <c r="I29" s="24"/>
    </row>
    <row r="30" spans="1:11" x14ac:dyDescent="0.2">
      <c r="A30" s="1"/>
      <c r="B30" s="1"/>
      <c r="C30" s="1"/>
      <c r="D30" s="1"/>
      <c r="E30" s="2"/>
      <c r="F30" s="33"/>
      <c r="G30" s="1"/>
      <c r="H30" s="1"/>
      <c r="I30" s="24"/>
    </row>
    <row r="31" spans="1:11" x14ac:dyDescent="0.2">
      <c r="A31" s="1"/>
      <c r="B31" s="1"/>
      <c r="C31" s="1"/>
      <c r="D31" s="1"/>
      <c r="E31" s="2"/>
      <c r="F31" s="33"/>
      <c r="G31" s="1"/>
      <c r="H31" s="1"/>
      <c r="I31" s="24"/>
    </row>
    <row r="32" spans="1:11" x14ac:dyDescent="0.2">
      <c r="A32" s="1" t="s">
        <v>46</v>
      </c>
      <c r="B32" s="1"/>
      <c r="C32" s="1"/>
      <c r="D32" s="1"/>
      <c r="E32" s="2"/>
      <c r="F32" s="33"/>
      <c r="G32" s="1"/>
      <c r="H32" s="1"/>
      <c r="I32" s="24"/>
    </row>
    <row r="33" spans="1:9" x14ac:dyDescent="0.2">
      <c r="A33" s="1" t="s">
        <v>47</v>
      </c>
      <c r="B33" s="1"/>
      <c r="C33" s="1"/>
      <c r="D33" s="1"/>
      <c r="E33" s="2"/>
      <c r="F33" s="33"/>
      <c r="G33" s="1"/>
      <c r="H33" s="1"/>
      <c r="I33" s="24"/>
    </row>
    <row r="34" spans="1:9" x14ac:dyDescent="0.2">
      <c r="A34" s="1" t="s">
        <v>48</v>
      </c>
      <c r="B34" s="1"/>
      <c r="C34" s="1"/>
      <c r="D34" s="1"/>
      <c r="E34" s="2"/>
      <c r="F34" s="33"/>
      <c r="G34" s="1"/>
      <c r="H34" s="1"/>
      <c r="I34" s="24"/>
    </row>
    <row r="35" spans="1:9" ht="13.5" thickBot="1" x14ac:dyDescent="0.25">
      <c r="A35" s="1" t="s">
        <v>49</v>
      </c>
      <c r="B35" s="1"/>
      <c r="C35" s="1"/>
      <c r="D35" s="1"/>
      <c r="E35" s="2"/>
      <c r="F35" s="34"/>
      <c r="G35" s="35"/>
      <c r="H35" s="35"/>
      <c r="I35" s="36"/>
    </row>
    <row r="36" spans="1:9" x14ac:dyDescent="0.2">
      <c r="A36" s="1" t="s">
        <v>50</v>
      </c>
      <c r="B36" s="1"/>
      <c r="C36" s="1"/>
      <c r="D36" s="1"/>
      <c r="E36" s="2"/>
      <c r="F36" s="1"/>
      <c r="G36" s="1"/>
      <c r="H36" s="1"/>
      <c r="I36" s="1"/>
    </row>
    <row r="37" spans="1:9" x14ac:dyDescent="0.2">
      <c r="A37" s="1" t="s">
        <v>51</v>
      </c>
      <c r="B37" s="1"/>
      <c r="C37" s="1"/>
      <c r="D37" s="1"/>
      <c r="E37" s="2"/>
      <c r="F37" s="1"/>
      <c r="G37" s="1"/>
      <c r="H37" s="1"/>
      <c r="I37" s="1"/>
    </row>
    <row r="38" spans="1:9" x14ac:dyDescent="0.2">
      <c r="A38" s="1" t="s">
        <v>52</v>
      </c>
      <c r="B38" s="1"/>
      <c r="C38" s="1"/>
      <c r="D38" s="1"/>
      <c r="E38" s="2"/>
      <c r="F38" s="1"/>
      <c r="G38" s="1"/>
      <c r="H38" s="1"/>
      <c r="I38" s="1"/>
    </row>
    <row r="39" spans="1:9" ht="13.5" thickBot="1" x14ac:dyDescent="0.25">
      <c r="A39" s="1" t="s">
        <v>53</v>
      </c>
      <c r="B39" s="1"/>
      <c r="C39" s="1"/>
      <c r="D39" s="1"/>
      <c r="E39" s="2"/>
      <c r="F39" s="37"/>
      <c r="G39" s="37"/>
      <c r="H39" s="37"/>
      <c r="I39" s="1"/>
    </row>
    <row r="40" spans="1:9" x14ac:dyDescent="0.2">
      <c r="A40" s="1"/>
      <c r="B40" s="1"/>
      <c r="C40" s="1"/>
      <c r="D40" s="1"/>
      <c r="E40" s="2"/>
      <c r="F40" s="428"/>
      <c r="G40" s="428"/>
      <c r="H40" s="428"/>
      <c r="I40" s="1"/>
    </row>
    <row r="41" spans="1:9" x14ac:dyDescent="0.2">
      <c r="A41" s="1"/>
      <c r="B41" s="1"/>
      <c r="C41" s="1"/>
      <c r="D41" s="1"/>
      <c r="E41" s="2"/>
      <c r="F41" s="429" t="s">
        <v>54</v>
      </c>
      <c r="G41" s="429"/>
      <c r="H41" s="429"/>
      <c r="I41" s="1"/>
    </row>
    <row r="42" spans="1:9" x14ac:dyDescent="0.2">
      <c r="A42" s="1"/>
      <c r="B42" s="38"/>
      <c r="C42" s="38"/>
      <c r="D42" s="38"/>
      <c r="E42" s="39"/>
      <c r="F42" s="429" t="s">
        <v>55</v>
      </c>
      <c r="G42" s="429"/>
      <c r="H42" s="429"/>
      <c r="I42" s="1"/>
    </row>
    <row r="43" spans="1:9" x14ac:dyDescent="0.2">
      <c r="A43" s="1"/>
      <c r="B43" s="1"/>
      <c r="C43" s="1"/>
      <c r="D43" s="1"/>
      <c r="E43" s="2"/>
      <c r="F43" s="1"/>
      <c r="G43" s="1"/>
      <c r="H43" s="1"/>
      <c r="I43" s="1"/>
    </row>
  </sheetData>
  <mergeCells count="21">
    <mergeCell ref="F41:H41"/>
    <mergeCell ref="F42:H42"/>
    <mergeCell ref="F24:I24"/>
    <mergeCell ref="A11:H11"/>
    <mergeCell ref="A12:A13"/>
    <mergeCell ref="B12:B13"/>
    <mergeCell ref="C12:C13"/>
    <mergeCell ref="D12:D13"/>
    <mergeCell ref="E12:E13"/>
    <mergeCell ref="F12:F13"/>
    <mergeCell ref="G12:I12"/>
    <mergeCell ref="B20:C20"/>
    <mergeCell ref="B21:C21"/>
    <mergeCell ref="B22:C22"/>
    <mergeCell ref="B23:C23"/>
    <mergeCell ref="A24:B24"/>
    <mergeCell ref="B3:I7"/>
    <mergeCell ref="B9:I9"/>
    <mergeCell ref="A25:B25"/>
    <mergeCell ref="A26:C26"/>
    <mergeCell ref="F40:H40"/>
  </mergeCells>
  <pageMargins left="0.51181102362204722" right="0.51181102362204722" top="0.78740157480314965" bottom="0.78740157480314965" header="0.31496062992125984" footer="0.31496062992125984"/>
  <pageSetup paperSize="9" scale="80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51"/>
  <sheetViews>
    <sheetView view="pageBreakPreview" zoomScaleNormal="100" zoomScaleSheetLayoutView="100" workbookViewId="0">
      <selection activeCell="E9" sqref="E9"/>
    </sheetView>
  </sheetViews>
  <sheetFormatPr defaultRowHeight="15" x14ac:dyDescent="0.25"/>
  <cols>
    <col min="1" max="5" width="9.140625" style="60"/>
    <col min="6" max="6" width="18" style="60" customWidth="1"/>
    <col min="7" max="7" width="9.140625" style="60"/>
    <col min="8" max="8" width="12" style="60" customWidth="1"/>
  </cols>
  <sheetData>
    <row r="1" spans="1:10" s="43" customFormat="1" ht="12.75" x14ac:dyDescent="0.25">
      <c r="A1" s="466"/>
      <c r="B1" s="467"/>
      <c r="C1" s="467"/>
      <c r="D1" s="467"/>
      <c r="E1" s="467"/>
      <c r="F1" s="467"/>
      <c r="G1" s="467"/>
      <c r="H1" s="468"/>
      <c r="I1" s="41"/>
      <c r="J1" s="42"/>
    </row>
    <row r="2" spans="1:10" s="43" customFormat="1" ht="12.75" x14ac:dyDescent="0.2">
      <c r="A2" s="469" t="s">
        <v>57</v>
      </c>
      <c r="B2" s="470"/>
      <c r="C2" s="470"/>
      <c r="D2" s="470"/>
      <c r="E2" s="470"/>
      <c r="F2" s="470"/>
      <c r="G2" s="470"/>
      <c r="H2" s="471"/>
      <c r="I2" s="41"/>
      <c r="J2" s="42"/>
    </row>
    <row r="3" spans="1:10" s="43" customFormat="1" ht="12.75" x14ac:dyDescent="0.2">
      <c r="A3" s="87"/>
      <c r="B3" s="88"/>
      <c r="C3" s="88"/>
      <c r="D3" s="88"/>
      <c r="E3" s="88"/>
      <c r="F3" s="88"/>
      <c r="G3" s="88"/>
      <c r="H3" s="89"/>
      <c r="I3" s="41"/>
      <c r="J3" s="42"/>
    </row>
    <row r="4" spans="1:10" s="43" customFormat="1" ht="12.75" x14ac:dyDescent="0.2">
      <c r="A4" s="90" t="s">
        <v>58</v>
      </c>
      <c r="B4" s="91"/>
      <c r="C4" s="91"/>
      <c r="D4" s="91"/>
      <c r="E4" s="88"/>
      <c r="F4" s="88"/>
      <c r="G4" s="88"/>
      <c r="H4" s="92" t="s">
        <v>59</v>
      </c>
      <c r="I4" s="41"/>
      <c r="J4" s="42"/>
    </row>
    <row r="5" spans="1:10" s="43" customFormat="1" ht="13.5" thickBot="1" x14ac:dyDescent="0.3">
      <c r="A5" s="101"/>
      <c r="B5" s="42"/>
      <c r="C5" s="102"/>
      <c r="D5" s="44"/>
      <c r="E5" s="44"/>
      <c r="F5" s="44"/>
      <c r="G5" s="45"/>
      <c r="H5" s="46"/>
      <c r="I5" s="41"/>
      <c r="J5" s="42"/>
    </row>
    <row r="6" spans="1:10" ht="15.75" thickBot="1" x14ac:dyDescent="0.3">
      <c r="A6" s="472" t="s">
        <v>60</v>
      </c>
      <c r="B6" s="473"/>
      <c r="C6" s="473"/>
      <c r="D6" s="473"/>
      <c r="E6" s="473"/>
      <c r="F6" s="473"/>
      <c r="G6" s="473"/>
      <c r="H6" s="474"/>
    </row>
    <row r="7" spans="1:10" ht="15.75" thickBot="1" x14ac:dyDescent="0.3">
      <c r="A7" s="103"/>
      <c r="B7" s="104"/>
      <c r="C7" s="104"/>
      <c r="D7" s="104"/>
      <c r="E7" s="104"/>
      <c r="F7" s="104"/>
      <c r="G7" s="104"/>
      <c r="H7" s="105"/>
    </row>
    <row r="8" spans="1:10" s="47" customFormat="1" ht="26.25" thickBot="1" x14ac:dyDescent="0.3">
      <c r="A8" s="93" t="s">
        <v>56</v>
      </c>
      <c r="B8" s="463" t="s">
        <v>1</v>
      </c>
      <c r="C8" s="464"/>
      <c r="D8" s="464"/>
      <c r="E8" s="464"/>
      <c r="F8" s="465"/>
      <c r="G8" s="94" t="s">
        <v>61</v>
      </c>
      <c r="H8" s="94" t="s">
        <v>62</v>
      </c>
    </row>
    <row r="9" spans="1:10" ht="15.75" thickBot="1" x14ac:dyDescent="0.3">
      <c r="A9" s="103"/>
      <c r="B9" s="104"/>
      <c r="C9" s="104"/>
      <c r="D9" s="104"/>
      <c r="E9" s="104"/>
      <c r="F9" s="104"/>
      <c r="G9" s="104"/>
      <c r="H9" s="105"/>
    </row>
    <row r="10" spans="1:10" ht="15.75" thickBot="1" x14ac:dyDescent="0.3">
      <c r="A10" s="463" t="s">
        <v>63</v>
      </c>
      <c r="B10" s="464"/>
      <c r="C10" s="464"/>
      <c r="D10" s="464"/>
      <c r="E10" s="464"/>
      <c r="F10" s="464"/>
      <c r="G10" s="464"/>
      <c r="H10" s="465"/>
    </row>
    <row r="11" spans="1:10" ht="15.75" thickBot="1" x14ac:dyDescent="0.3">
      <c r="A11" s="106" t="s">
        <v>64</v>
      </c>
      <c r="B11" s="460" t="s">
        <v>65</v>
      </c>
      <c r="C11" s="461"/>
      <c r="D11" s="461"/>
      <c r="E11" s="461"/>
      <c r="F11" s="462"/>
      <c r="G11" s="107">
        <v>0</v>
      </c>
      <c r="H11" s="107">
        <v>0</v>
      </c>
    </row>
    <row r="12" spans="1:10" ht="15.75" thickBot="1" x14ac:dyDescent="0.3">
      <c r="A12" s="106" t="s">
        <v>66</v>
      </c>
      <c r="B12" s="450" t="s">
        <v>67</v>
      </c>
      <c r="C12" s="450"/>
      <c r="D12" s="450"/>
      <c r="E12" s="450"/>
      <c r="F12" s="450"/>
      <c r="G12" s="107">
        <v>1.5</v>
      </c>
      <c r="H12" s="107">
        <v>1.5</v>
      </c>
    </row>
    <row r="13" spans="1:10" ht="15.75" thickBot="1" x14ac:dyDescent="0.3">
      <c r="A13" s="106" t="s">
        <v>68</v>
      </c>
      <c r="B13" s="450" t="s">
        <v>69</v>
      </c>
      <c r="C13" s="450"/>
      <c r="D13" s="450"/>
      <c r="E13" s="450"/>
      <c r="F13" s="450"/>
      <c r="G13" s="107">
        <v>1</v>
      </c>
      <c r="H13" s="107">
        <v>1</v>
      </c>
    </row>
    <row r="14" spans="1:10" ht="15.75" thickBot="1" x14ac:dyDescent="0.3">
      <c r="A14" s="106" t="s">
        <v>70</v>
      </c>
      <c r="B14" s="450" t="s">
        <v>71</v>
      </c>
      <c r="C14" s="450"/>
      <c r="D14" s="450"/>
      <c r="E14" s="450"/>
      <c r="F14" s="450"/>
      <c r="G14" s="107">
        <v>0.2</v>
      </c>
      <c r="H14" s="107">
        <v>0.2</v>
      </c>
    </row>
    <row r="15" spans="1:10" ht="15.75" thickBot="1" x14ac:dyDescent="0.3">
      <c r="A15" s="106" t="s">
        <v>72</v>
      </c>
      <c r="B15" s="450" t="s">
        <v>73</v>
      </c>
      <c r="C15" s="450"/>
      <c r="D15" s="450"/>
      <c r="E15" s="450"/>
      <c r="F15" s="450"/>
      <c r="G15" s="107">
        <v>0.6</v>
      </c>
      <c r="H15" s="107">
        <v>0.6</v>
      </c>
    </row>
    <row r="16" spans="1:10" ht="15.75" thickBot="1" x14ac:dyDescent="0.3">
      <c r="A16" s="106" t="s">
        <v>74</v>
      </c>
      <c r="B16" s="450" t="s">
        <v>75</v>
      </c>
      <c r="C16" s="450"/>
      <c r="D16" s="450"/>
      <c r="E16" s="450"/>
      <c r="F16" s="450"/>
      <c r="G16" s="107">
        <v>2.5</v>
      </c>
      <c r="H16" s="107">
        <v>2.5</v>
      </c>
    </row>
    <row r="17" spans="1:11" ht="15.75" thickBot="1" x14ac:dyDescent="0.3">
      <c r="A17" s="106" t="s">
        <v>76</v>
      </c>
      <c r="B17" s="450" t="s">
        <v>77</v>
      </c>
      <c r="C17" s="450"/>
      <c r="D17" s="450"/>
      <c r="E17" s="450"/>
      <c r="F17" s="450"/>
      <c r="G17" s="107">
        <v>3</v>
      </c>
      <c r="H17" s="107">
        <v>3</v>
      </c>
    </row>
    <row r="18" spans="1:11" ht="15.75" thickBot="1" x14ac:dyDescent="0.3">
      <c r="A18" s="106" t="s">
        <v>78</v>
      </c>
      <c r="B18" s="450" t="s">
        <v>79</v>
      </c>
      <c r="C18" s="450"/>
      <c r="D18" s="450"/>
      <c r="E18" s="450"/>
      <c r="F18" s="450"/>
      <c r="G18" s="107">
        <v>8</v>
      </c>
      <c r="H18" s="107">
        <v>8</v>
      </c>
    </row>
    <row r="19" spans="1:11" ht="15.75" thickBot="1" x14ac:dyDescent="0.3">
      <c r="A19" s="106" t="s">
        <v>80</v>
      </c>
      <c r="B19" s="460" t="s">
        <v>81</v>
      </c>
      <c r="C19" s="461"/>
      <c r="D19" s="461"/>
      <c r="E19" s="461"/>
      <c r="F19" s="462"/>
      <c r="G19" s="107">
        <v>1</v>
      </c>
      <c r="H19" s="107">
        <v>1</v>
      </c>
      <c r="J19" s="48"/>
      <c r="K19" s="48"/>
    </row>
    <row r="20" spans="1:11" s="49" customFormat="1" ht="15.75" thickBot="1" x14ac:dyDescent="0.3">
      <c r="A20" s="93" t="s">
        <v>82</v>
      </c>
      <c r="B20" s="457" t="s">
        <v>83</v>
      </c>
      <c r="C20" s="458"/>
      <c r="D20" s="458"/>
      <c r="E20" s="458"/>
      <c r="F20" s="459"/>
      <c r="G20" s="108">
        <v>17.8</v>
      </c>
      <c r="H20" s="108">
        <v>17.8</v>
      </c>
      <c r="J20" s="50"/>
      <c r="K20" s="50"/>
    </row>
    <row r="21" spans="1:11" ht="15.75" thickBot="1" x14ac:dyDescent="0.3">
      <c r="A21" s="109"/>
      <c r="B21" s="110"/>
      <c r="C21" s="110"/>
      <c r="D21" s="110"/>
      <c r="E21" s="110"/>
      <c r="F21" s="110"/>
      <c r="G21" s="110"/>
      <c r="H21" s="111"/>
    </row>
    <row r="22" spans="1:11" ht="15.75" thickBot="1" x14ac:dyDescent="0.3">
      <c r="A22" s="463" t="s">
        <v>84</v>
      </c>
      <c r="B22" s="464"/>
      <c r="C22" s="464"/>
      <c r="D22" s="464"/>
      <c r="E22" s="464"/>
      <c r="F22" s="464"/>
      <c r="G22" s="464"/>
      <c r="H22" s="465"/>
    </row>
    <row r="23" spans="1:11" ht="15.75" thickBot="1" x14ac:dyDescent="0.3">
      <c r="A23" s="106" t="s">
        <v>85</v>
      </c>
      <c r="B23" s="460" t="s">
        <v>86</v>
      </c>
      <c r="C23" s="461"/>
      <c r="D23" s="461"/>
      <c r="E23" s="461"/>
      <c r="F23" s="462"/>
      <c r="G23" s="107">
        <v>17.940000000000001</v>
      </c>
      <c r="H23" s="107" t="s">
        <v>87</v>
      </c>
      <c r="J23" s="48"/>
      <c r="K23" s="48"/>
    </row>
    <row r="24" spans="1:11" ht="15.75" thickBot="1" x14ac:dyDescent="0.3">
      <c r="A24" s="106" t="s">
        <v>88</v>
      </c>
      <c r="B24" s="450" t="s">
        <v>89</v>
      </c>
      <c r="C24" s="450"/>
      <c r="D24" s="450"/>
      <c r="E24" s="450"/>
      <c r="F24" s="450"/>
      <c r="G24" s="107">
        <v>3.98</v>
      </c>
      <c r="H24" s="107" t="s">
        <v>87</v>
      </c>
    </row>
    <row r="25" spans="1:11" ht="15.75" thickBot="1" x14ac:dyDescent="0.3">
      <c r="A25" s="106" t="s">
        <v>90</v>
      </c>
      <c r="B25" s="450" t="s">
        <v>91</v>
      </c>
      <c r="C25" s="450"/>
      <c r="D25" s="450"/>
      <c r="E25" s="450"/>
      <c r="F25" s="450"/>
      <c r="G25" s="107">
        <v>0.93</v>
      </c>
      <c r="H25" s="107">
        <v>0.71</v>
      </c>
    </row>
    <row r="26" spans="1:11" ht="15.75" thickBot="1" x14ac:dyDescent="0.3">
      <c r="A26" s="106" t="s">
        <v>92</v>
      </c>
      <c r="B26" s="450" t="s">
        <v>93</v>
      </c>
      <c r="C26" s="450"/>
      <c r="D26" s="450"/>
      <c r="E26" s="450"/>
      <c r="F26" s="450"/>
      <c r="G26" s="107">
        <v>10.88</v>
      </c>
      <c r="H26" s="107">
        <v>8.33</v>
      </c>
    </row>
    <row r="27" spans="1:11" ht="15.75" thickBot="1" x14ac:dyDescent="0.3">
      <c r="A27" s="106" t="s">
        <v>94</v>
      </c>
      <c r="B27" s="450" t="s">
        <v>95</v>
      </c>
      <c r="C27" s="450"/>
      <c r="D27" s="450"/>
      <c r="E27" s="450"/>
      <c r="F27" s="450"/>
      <c r="G27" s="107">
        <v>7.0000000000000007E-2</v>
      </c>
      <c r="H27" s="107">
        <v>0.06</v>
      </c>
    </row>
    <row r="28" spans="1:11" ht="15.75" thickBot="1" x14ac:dyDescent="0.3">
      <c r="A28" s="106" t="s">
        <v>96</v>
      </c>
      <c r="B28" s="450" t="s">
        <v>97</v>
      </c>
      <c r="C28" s="450"/>
      <c r="D28" s="450"/>
      <c r="E28" s="450"/>
      <c r="F28" s="450"/>
      <c r="G28" s="107">
        <v>0.73</v>
      </c>
      <c r="H28" s="107">
        <v>0.56000000000000005</v>
      </c>
    </row>
    <row r="29" spans="1:11" ht="15.75" thickBot="1" x14ac:dyDescent="0.3">
      <c r="A29" s="106" t="s">
        <v>98</v>
      </c>
      <c r="B29" s="450" t="s">
        <v>99</v>
      </c>
      <c r="C29" s="450"/>
      <c r="D29" s="450"/>
      <c r="E29" s="450"/>
      <c r="F29" s="450"/>
      <c r="G29" s="107">
        <v>1.81</v>
      </c>
      <c r="H29" s="107" t="s">
        <v>87</v>
      </c>
    </row>
    <row r="30" spans="1:11" ht="15.75" thickBot="1" x14ac:dyDescent="0.3">
      <c r="A30" s="106" t="s">
        <v>100</v>
      </c>
      <c r="B30" s="450" t="s">
        <v>101</v>
      </c>
      <c r="C30" s="450"/>
      <c r="D30" s="450"/>
      <c r="E30" s="450"/>
      <c r="F30" s="450"/>
      <c r="G30" s="107">
        <v>0.11</v>
      </c>
      <c r="H30" s="107">
        <v>0.09</v>
      </c>
    </row>
    <row r="31" spans="1:11" ht="15.75" thickBot="1" x14ac:dyDescent="0.3">
      <c r="A31" s="106" t="s">
        <v>102</v>
      </c>
      <c r="B31" s="460" t="s">
        <v>103</v>
      </c>
      <c r="C31" s="461"/>
      <c r="D31" s="461"/>
      <c r="E31" s="461"/>
      <c r="F31" s="462"/>
      <c r="G31" s="107">
        <v>9.1</v>
      </c>
      <c r="H31" s="107">
        <v>6.97</v>
      </c>
    </row>
    <row r="32" spans="1:11" ht="15.75" thickBot="1" x14ac:dyDescent="0.3">
      <c r="A32" s="106" t="s">
        <v>104</v>
      </c>
      <c r="B32" s="460" t="s">
        <v>105</v>
      </c>
      <c r="C32" s="461"/>
      <c r="D32" s="461"/>
      <c r="E32" s="461"/>
      <c r="F32" s="462"/>
      <c r="G32" s="107">
        <v>0.03</v>
      </c>
      <c r="H32" s="107">
        <v>0.02</v>
      </c>
    </row>
    <row r="33" spans="1:11" s="49" customFormat="1" ht="15.75" thickBot="1" x14ac:dyDescent="0.3">
      <c r="A33" s="93" t="s">
        <v>106</v>
      </c>
      <c r="B33" s="457" t="s">
        <v>107</v>
      </c>
      <c r="C33" s="458"/>
      <c r="D33" s="458"/>
      <c r="E33" s="458"/>
      <c r="F33" s="459"/>
      <c r="G33" s="108">
        <v>45.58</v>
      </c>
      <c r="H33" s="108">
        <v>16.739999999999998</v>
      </c>
    </row>
    <row r="34" spans="1:11" ht="15.75" thickBot="1" x14ac:dyDescent="0.3">
      <c r="A34" s="109"/>
      <c r="B34" s="110"/>
      <c r="C34" s="110"/>
      <c r="D34" s="110"/>
      <c r="E34" s="110"/>
      <c r="F34" s="110"/>
      <c r="G34" s="110"/>
      <c r="H34" s="111"/>
    </row>
    <row r="35" spans="1:11" ht="15.75" thickBot="1" x14ac:dyDescent="0.3">
      <c r="A35" s="463" t="s">
        <v>108</v>
      </c>
      <c r="B35" s="464"/>
      <c r="C35" s="464"/>
      <c r="D35" s="464"/>
      <c r="E35" s="464"/>
      <c r="F35" s="464"/>
      <c r="G35" s="464"/>
      <c r="H35" s="465"/>
      <c r="J35" s="48"/>
      <c r="K35" s="48"/>
    </row>
    <row r="36" spans="1:11" ht="15.75" thickBot="1" x14ac:dyDescent="0.3">
      <c r="A36" s="106" t="s">
        <v>109</v>
      </c>
      <c r="B36" s="460" t="s">
        <v>110</v>
      </c>
      <c r="C36" s="461"/>
      <c r="D36" s="461"/>
      <c r="E36" s="461"/>
      <c r="F36" s="462"/>
      <c r="G36" s="107">
        <v>5.65</v>
      </c>
      <c r="H36" s="107">
        <v>4.33</v>
      </c>
    </row>
    <row r="37" spans="1:11" ht="15.75" thickBot="1" x14ac:dyDescent="0.3">
      <c r="A37" s="106" t="s">
        <v>111</v>
      </c>
      <c r="B37" s="450" t="s">
        <v>112</v>
      </c>
      <c r="C37" s="450"/>
      <c r="D37" s="450"/>
      <c r="E37" s="450"/>
      <c r="F37" s="450"/>
      <c r="G37" s="107">
        <v>0.13</v>
      </c>
      <c r="H37" s="107">
        <v>0.1</v>
      </c>
    </row>
    <row r="38" spans="1:11" ht="15.75" thickBot="1" x14ac:dyDescent="0.3">
      <c r="A38" s="106" t="s">
        <v>113</v>
      </c>
      <c r="B38" s="450" t="s">
        <v>114</v>
      </c>
      <c r="C38" s="450"/>
      <c r="D38" s="450"/>
      <c r="E38" s="450"/>
      <c r="F38" s="450"/>
      <c r="G38" s="107">
        <v>4.4400000000000004</v>
      </c>
      <c r="H38" s="107">
        <v>3.4</v>
      </c>
    </row>
    <row r="39" spans="1:11" ht="15.75" thickBot="1" x14ac:dyDescent="0.3">
      <c r="A39" s="106" t="s">
        <v>115</v>
      </c>
      <c r="B39" s="450" t="s">
        <v>116</v>
      </c>
      <c r="C39" s="450"/>
      <c r="D39" s="450"/>
      <c r="E39" s="450"/>
      <c r="F39" s="450"/>
      <c r="G39" s="107">
        <v>4.92</v>
      </c>
      <c r="H39" s="107">
        <v>3.77</v>
      </c>
    </row>
    <row r="40" spans="1:11" ht="15.75" thickBot="1" x14ac:dyDescent="0.3">
      <c r="A40" s="106" t="s">
        <v>117</v>
      </c>
      <c r="B40" s="460" t="s">
        <v>118</v>
      </c>
      <c r="C40" s="461"/>
      <c r="D40" s="461"/>
      <c r="E40" s="461"/>
      <c r="F40" s="462"/>
      <c r="G40" s="107">
        <v>0.48</v>
      </c>
      <c r="H40" s="107">
        <v>0.36</v>
      </c>
    </row>
    <row r="41" spans="1:11" s="49" customFormat="1" ht="15.75" thickBot="1" x14ac:dyDescent="0.3">
      <c r="A41" s="93" t="s">
        <v>119</v>
      </c>
      <c r="B41" s="457" t="s">
        <v>120</v>
      </c>
      <c r="C41" s="458"/>
      <c r="D41" s="458"/>
      <c r="E41" s="458"/>
      <c r="F41" s="459"/>
      <c r="G41" s="108">
        <v>15.62</v>
      </c>
      <c r="H41" s="108">
        <v>11.96</v>
      </c>
    </row>
    <row r="42" spans="1:11" ht="15.75" thickBot="1" x14ac:dyDescent="0.3">
      <c r="A42" s="109"/>
      <c r="B42" s="110"/>
      <c r="C42" s="110"/>
      <c r="D42" s="110"/>
      <c r="E42" s="110"/>
      <c r="F42" s="110"/>
      <c r="G42" s="110"/>
      <c r="H42" s="111"/>
    </row>
    <row r="43" spans="1:11" ht="15.75" thickBot="1" x14ac:dyDescent="0.3">
      <c r="A43" s="463" t="s">
        <v>121</v>
      </c>
      <c r="B43" s="464"/>
      <c r="C43" s="464"/>
      <c r="D43" s="464"/>
      <c r="E43" s="464"/>
      <c r="F43" s="464"/>
      <c r="G43" s="464"/>
      <c r="H43" s="465"/>
    </row>
    <row r="44" spans="1:11" ht="15.75" thickBot="1" x14ac:dyDescent="0.3">
      <c r="A44" s="106" t="s">
        <v>122</v>
      </c>
      <c r="B44" s="449" t="s">
        <v>123</v>
      </c>
      <c r="C44" s="450"/>
      <c r="D44" s="450"/>
      <c r="E44" s="450"/>
      <c r="F44" s="451"/>
      <c r="G44" s="107">
        <v>8.11</v>
      </c>
      <c r="H44" s="107">
        <v>2.98</v>
      </c>
      <c r="J44" s="48"/>
      <c r="K44" s="48"/>
    </row>
    <row r="45" spans="1:11" x14ac:dyDescent="0.25">
      <c r="A45" s="447" t="s">
        <v>124</v>
      </c>
      <c r="B45" s="449" t="s">
        <v>125</v>
      </c>
      <c r="C45" s="450"/>
      <c r="D45" s="450"/>
      <c r="E45" s="450"/>
      <c r="F45" s="451"/>
      <c r="G45" s="452">
        <v>0.48</v>
      </c>
      <c r="H45" s="452">
        <v>0.36</v>
      </c>
    </row>
    <row r="46" spans="1:11" ht="15.75" thickBot="1" x14ac:dyDescent="0.3">
      <c r="A46" s="448"/>
      <c r="B46" s="454" t="s">
        <v>126</v>
      </c>
      <c r="C46" s="455"/>
      <c r="D46" s="455"/>
      <c r="E46" s="455"/>
      <c r="F46" s="456"/>
      <c r="G46" s="453"/>
      <c r="H46" s="453"/>
    </row>
    <row r="47" spans="1:11" s="49" customFormat="1" ht="15.75" thickBot="1" x14ac:dyDescent="0.3">
      <c r="A47" s="93" t="s">
        <v>127</v>
      </c>
      <c r="B47" s="457" t="s">
        <v>128</v>
      </c>
      <c r="C47" s="458"/>
      <c r="D47" s="458"/>
      <c r="E47" s="458"/>
      <c r="F47" s="459"/>
      <c r="G47" s="108">
        <v>8.59</v>
      </c>
      <c r="H47" s="108">
        <v>3.34</v>
      </c>
    </row>
    <row r="48" spans="1:11" ht="15.75" thickBot="1" x14ac:dyDescent="0.3">
      <c r="A48" s="109"/>
      <c r="B48" s="110"/>
      <c r="C48" s="110"/>
      <c r="D48" s="110"/>
      <c r="E48" s="110"/>
      <c r="F48" s="110"/>
      <c r="G48" s="110"/>
      <c r="H48" s="111"/>
    </row>
    <row r="49" spans="1:8" ht="15.75" thickBot="1" x14ac:dyDescent="0.3">
      <c r="A49" s="442" t="s">
        <v>129</v>
      </c>
      <c r="B49" s="443"/>
      <c r="C49" s="443"/>
      <c r="D49" s="443"/>
      <c r="E49" s="443"/>
      <c r="F49" s="443"/>
      <c r="G49" s="112">
        <v>87.59</v>
      </c>
      <c r="H49" s="112">
        <v>49.84</v>
      </c>
    </row>
    <row r="50" spans="1:8" x14ac:dyDescent="0.25">
      <c r="A50" s="113"/>
      <c r="H50" s="114"/>
    </row>
    <row r="51" spans="1:8" ht="15.75" thickBot="1" x14ac:dyDescent="0.3">
      <c r="A51" s="444" t="s">
        <v>130</v>
      </c>
      <c r="B51" s="445"/>
      <c r="C51" s="445"/>
      <c r="D51" s="445"/>
      <c r="E51" s="445"/>
      <c r="F51" s="445"/>
      <c r="G51" s="445"/>
      <c r="H51" s="446"/>
    </row>
  </sheetData>
  <mergeCells count="44">
    <mergeCell ref="B17:F17"/>
    <mergeCell ref="A1:H1"/>
    <mergeCell ref="A2:H2"/>
    <mergeCell ref="A6:H6"/>
    <mergeCell ref="B8:F8"/>
    <mergeCell ref="A10:H10"/>
    <mergeCell ref="B11:F11"/>
    <mergeCell ref="B12:F12"/>
    <mergeCell ref="B13:F13"/>
    <mergeCell ref="B14:F14"/>
    <mergeCell ref="B15:F15"/>
    <mergeCell ref="B16:F16"/>
    <mergeCell ref="B30:F30"/>
    <mergeCell ref="B18:F18"/>
    <mergeCell ref="B19:F19"/>
    <mergeCell ref="B20:F20"/>
    <mergeCell ref="A22:H22"/>
    <mergeCell ref="B23:F23"/>
    <mergeCell ref="B24:F24"/>
    <mergeCell ref="B25:F25"/>
    <mergeCell ref="B26:F26"/>
    <mergeCell ref="B27:F27"/>
    <mergeCell ref="B28:F28"/>
    <mergeCell ref="B29:F29"/>
    <mergeCell ref="B44:F44"/>
    <mergeCell ref="B31:F31"/>
    <mergeCell ref="B32:F32"/>
    <mergeCell ref="B33:F33"/>
    <mergeCell ref="A35:H35"/>
    <mergeCell ref="B36:F36"/>
    <mergeCell ref="B37:F37"/>
    <mergeCell ref="B38:F38"/>
    <mergeCell ref="B39:F39"/>
    <mergeCell ref="B40:F40"/>
    <mergeCell ref="B41:F41"/>
    <mergeCell ref="A43:H43"/>
    <mergeCell ref="A49:F49"/>
    <mergeCell ref="A51:H51"/>
    <mergeCell ref="A45:A46"/>
    <mergeCell ref="B45:F45"/>
    <mergeCell ref="G45:G46"/>
    <mergeCell ref="H45:H46"/>
    <mergeCell ref="B46:F46"/>
    <mergeCell ref="B47:F47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92"/>
  <sheetViews>
    <sheetView view="pageBreakPreview" topLeftCell="A67" zoomScale="70" zoomScaleNormal="85" zoomScaleSheetLayoutView="70" workbookViewId="0">
      <selection activeCell="F14" sqref="F14"/>
    </sheetView>
  </sheetViews>
  <sheetFormatPr defaultRowHeight="15" x14ac:dyDescent="0.25"/>
  <cols>
    <col min="1" max="1" width="18.140625" style="98" customWidth="1"/>
    <col min="2" max="2" width="76.140625" style="121" customWidth="1"/>
    <col min="3" max="3" width="9.42578125" style="98" customWidth="1"/>
    <col min="4" max="4" width="10.42578125" style="98" bestFit="1" customWidth="1"/>
    <col min="5" max="5" width="14.28515625" style="98" bestFit="1" customWidth="1"/>
    <col min="6" max="6" width="92.5703125" style="121" customWidth="1"/>
    <col min="7" max="7" width="9.140625" style="98"/>
    <col min="8" max="8" width="11.28515625" style="259" bestFit="1" customWidth="1"/>
    <col min="9" max="9" width="9.85546875" style="122" bestFit="1" customWidth="1"/>
    <col min="10" max="10" width="9.7109375" style="122" bestFit="1" customWidth="1"/>
  </cols>
  <sheetData>
    <row r="1" spans="1:10" ht="15.75" thickBot="1" x14ac:dyDescent="0.3">
      <c r="A1" s="415" t="s">
        <v>340</v>
      </c>
      <c r="B1" s="416"/>
      <c r="C1" s="416"/>
      <c r="D1" s="416"/>
      <c r="E1" s="416"/>
      <c r="F1" s="416"/>
      <c r="G1" s="416"/>
      <c r="H1" s="416"/>
      <c r="I1" s="416"/>
      <c r="J1" s="417"/>
    </row>
    <row r="2" spans="1:10" ht="15.75" thickBot="1" x14ac:dyDescent="0.3"/>
    <row r="3" spans="1:10" x14ac:dyDescent="0.25">
      <c r="A3" s="95" t="s">
        <v>341</v>
      </c>
      <c r="B3" s="96" t="s">
        <v>342</v>
      </c>
      <c r="C3" s="97" t="s">
        <v>344</v>
      </c>
      <c r="D3" s="97" t="s">
        <v>343</v>
      </c>
      <c r="E3" s="97" t="s">
        <v>345</v>
      </c>
      <c r="F3" s="96" t="s">
        <v>346</v>
      </c>
      <c r="G3" s="97" t="s">
        <v>347</v>
      </c>
      <c r="H3" s="258" t="s">
        <v>348</v>
      </c>
      <c r="I3" s="227" t="s">
        <v>350</v>
      </c>
      <c r="J3" s="228" t="s">
        <v>349</v>
      </c>
    </row>
    <row r="4" spans="1:10" ht="25.5" x14ac:dyDescent="0.25">
      <c r="A4" s="475" t="s">
        <v>735</v>
      </c>
      <c r="B4" s="314" t="s">
        <v>283</v>
      </c>
      <c r="C4" s="316" t="s">
        <v>135</v>
      </c>
      <c r="D4" s="325">
        <f>SUM($J$5:$J$10)</f>
        <v>49.599179999999997</v>
      </c>
      <c r="E4" s="316" t="s">
        <v>132</v>
      </c>
      <c r="F4" s="314" t="s">
        <v>132</v>
      </c>
      <c r="G4" s="316" t="s">
        <v>132</v>
      </c>
      <c r="H4" s="326" t="s">
        <v>132</v>
      </c>
      <c r="I4" s="325" t="s">
        <v>132</v>
      </c>
      <c r="J4" s="327" t="s">
        <v>132</v>
      </c>
    </row>
    <row r="5" spans="1:10" ht="25.5" x14ac:dyDescent="0.25">
      <c r="A5" s="476"/>
      <c r="B5" s="314" t="s">
        <v>283</v>
      </c>
      <c r="C5" s="316" t="s">
        <v>135</v>
      </c>
      <c r="D5" s="325">
        <f t="shared" ref="D5:D10" si="0">SUM($J$5:$J$10)</f>
        <v>49.599179999999997</v>
      </c>
      <c r="E5" s="316" t="s">
        <v>272</v>
      </c>
      <c r="F5" s="314" t="s">
        <v>273</v>
      </c>
      <c r="G5" s="316" t="s">
        <v>135</v>
      </c>
      <c r="H5" s="326" t="s">
        <v>274</v>
      </c>
      <c r="I5" s="325" t="s">
        <v>275</v>
      </c>
      <c r="J5" s="327">
        <f t="shared" ref="J5:J10" si="1">I5*H5</f>
        <v>5.4080699999999995</v>
      </c>
    </row>
    <row r="6" spans="1:10" ht="25.5" x14ac:dyDescent="0.25">
      <c r="A6" s="476"/>
      <c r="B6" s="314" t="s">
        <v>283</v>
      </c>
      <c r="C6" s="316" t="s">
        <v>135</v>
      </c>
      <c r="D6" s="325">
        <f t="shared" si="0"/>
        <v>49.599179999999997</v>
      </c>
      <c r="E6" s="316" t="s">
        <v>597</v>
      </c>
      <c r="F6" s="314" t="s">
        <v>284</v>
      </c>
      <c r="G6" s="316" t="s">
        <v>135</v>
      </c>
      <c r="H6" s="326" t="s">
        <v>140</v>
      </c>
      <c r="I6" s="325">
        <v>24.76</v>
      </c>
      <c r="J6" s="327">
        <f t="shared" si="1"/>
        <v>24.76</v>
      </c>
    </row>
    <row r="7" spans="1:10" ht="25.5" x14ac:dyDescent="0.25">
      <c r="A7" s="476"/>
      <c r="B7" s="314" t="s">
        <v>283</v>
      </c>
      <c r="C7" s="316" t="s">
        <v>135</v>
      </c>
      <c r="D7" s="325">
        <f t="shared" si="0"/>
        <v>49.599179999999997</v>
      </c>
      <c r="E7" s="316" t="s">
        <v>276</v>
      </c>
      <c r="F7" s="314" t="s">
        <v>277</v>
      </c>
      <c r="G7" s="316" t="s">
        <v>135</v>
      </c>
      <c r="H7" s="326" t="s">
        <v>278</v>
      </c>
      <c r="I7" s="325" t="s">
        <v>279</v>
      </c>
      <c r="J7" s="327">
        <f t="shared" si="1"/>
        <v>7.7669999999999995</v>
      </c>
    </row>
    <row r="8" spans="1:10" ht="25.5" x14ac:dyDescent="0.25">
      <c r="A8" s="476"/>
      <c r="B8" s="314" t="s">
        <v>283</v>
      </c>
      <c r="C8" s="316" t="s">
        <v>135</v>
      </c>
      <c r="D8" s="325">
        <f t="shared" si="0"/>
        <v>49.599179999999997</v>
      </c>
      <c r="E8" s="316" t="s">
        <v>280</v>
      </c>
      <c r="F8" s="314" t="s">
        <v>281</v>
      </c>
      <c r="G8" s="316" t="s">
        <v>135</v>
      </c>
      <c r="H8" s="326" t="s">
        <v>282</v>
      </c>
      <c r="I8" s="325">
        <v>1.89</v>
      </c>
      <c r="J8" s="327">
        <f t="shared" si="1"/>
        <v>0.11150999999999998</v>
      </c>
    </row>
    <row r="9" spans="1:10" ht="25.5" x14ac:dyDescent="0.25">
      <c r="A9" s="476"/>
      <c r="B9" s="314" t="s">
        <v>283</v>
      </c>
      <c r="C9" s="316" t="s">
        <v>135</v>
      </c>
      <c r="D9" s="325">
        <f t="shared" si="0"/>
        <v>49.599179999999997</v>
      </c>
      <c r="E9" s="316" t="s">
        <v>151</v>
      </c>
      <c r="F9" s="314" t="s">
        <v>152</v>
      </c>
      <c r="G9" s="316" t="s">
        <v>136</v>
      </c>
      <c r="H9" s="326" t="s">
        <v>190</v>
      </c>
      <c r="I9" s="325">
        <v>22.12</v>
      </c>
      <c r="J9" s="327">
        <f t="shared" si="1"/>
        <v>5.1981999999999999</v>
      </c>
    </row>
    <row r="10" spans="1:10" ht="26.25" thickBot="1" x14ac:dyDescent="0.3">
      <c r="A10" s="477"/>
      <c r="B10" s="315" t="s">
        <v>283</v>
      </c>
      <c r="C10" s="328" t="s">
        <v>135</v>
      </c>
      <c r="D10" s="329">
        <f t="shared" si="0"/>
        <v>49.599179999999997</v>
      </c>
      <c r="E10" s="328" t="s">
        <v>146</v>
      </c>
      <c r="F10" s="315" t="s">
        <v>147</v>
      </c>
      <c r="G10" s="328" t="s">
        <v>136</v>
      </c>
      <c r="H10" s="330" t="s">
        <v>190</v>
      </c>
      <c r="I10" s="329">
        <v>27.04</v>
      </c>
      <c r="J10" s="331">
        <f t="shared" si="1"/>
        <v>6.3543999999999992</v>
      </c>
    </row>
    <row r="11" spans="1:10" ht="15.75" thickBot="1" x14ac:dyDescent="0.3"/>
    <row r="12" spans="1:10" x14ac:dyDescent="0.25">
      <c r="A12" s="95" t="s">
        <v>341</v>
      </c>
      <c r="B12" s="96" t="s">
        <v>342</v>
      </c>
      <c r="C12" s="97" t="s">
        <v>344</v>
      </c>
      <c r="D12" s="97" t="s">
        <v>343</v>
      </c>
      <c r="E12" s="97" t="s">
        <v>345</v>
      </c>
      <c r="F12" s="96" t="s">
        <v>346</v>
      </c>
      <c r="G12" s="97" t="s">
        <v>347</v>
      </c>
      <c r="H12" s="258" t="s">
        <v>348</v>
      </c>
      <c r="I12" s="227" t="s">
        <v>350</v>
      </c>
      <c r="J12" s="228" t="s">
        <v>349</v>
      </c>
    </row>
    <row r="13" spans="1:10" x14ac:dyDescent="0.25">
      <c r="A13" s="484" t="s">
        <v>736</v>
      </c>
      <c r="B13" s="314" t="s">
        <v>253</v>
      </c>
      <c r="C13" s="316" t="s">
        <v>135</v>
      </c>
      <c r="D13" s="325">
        <f>SUM($J$14:$J$18)</f>
        <v>16.564400000000003</v>
      </c>
      <c r="E13" s="316" t="s">
        <v>132</v>
      </c>
      <c r="F13" s="314" t="s">
        <v>132</v>
      </c>
      <c r="G13" s="316" t="s">
        <v>132</v>
      </c>
      <c r="H13" s="326" t="s">
        <v>132</v>
      </c>
      <c r="I13" s="325" t="s">
        <v>132</v>
      </c>
      <c r="J13" s="327" t="s">
        <v>132</v>
      </c>
    </row>
    <row r="14" spans="1:10" x14ac:dyDescent="0.25">
      <c r="A14" s="484"/>
      <c r="B14" s="314" t="s">
        <v>253</v>
      </c>
      <c r="C14" s="316" t="s">
        <v>135</v>
      </c>
      <c r="D14" s="325">
        <f t="shared" ref="D14:D18" si="2">SUM($J$14:$J$18)</f>
        <v>16.564400000000003</v>
      </c>
      <c r="E14" s="316">
        <v>297</v>
      </c>
      <c r="F14" s="314" t="s">
        <v>254</v>
      </c>
      <c r="G14" s="316" t="s">
        <v>135</v>
      </c>
      <c r="H14" s="326" t="s">
        <v>140</v>
      </c>
      <c r="I14" s="325">
        <v>2.12</v>
      </c>
      <c r="J14" s="327">
        <f>I14*H14</f>
        <v>2.12</v>
      </c>
    </row>
    <row r="15" spans="1:10" x14ac:dyDescent="0.25">
      <c r="A15" s="484"/>
      <c r="B15" s="314" t="s">
        <v>253</v>
      </c>
      <c r="C15" s="316" t="s">
        <v>135</v>
      </c>
      <c r="D15" s="325">
        <f t="shared" si="2"/>
        <v>16.564400000000003</v>
      </c>
      <c r="E15" s="316">
        <v>20044</v>
      </c>
      <c r="F15" s="314" t="s">
        <v>253</v>
      </c>
      <c r="G15" s="316" t="s">
        <v>135</v>
      </c>
      <c r="H15" s="326" t="s">
        <v>140</v>
      </c>
      <c r="I15" s="325">
        <v>10.06</v>
      </c>
      <c r="J15" s="327">
        <f>I15*H15</f>
        <v>10.06</v>
      </c>
    </row>
    <row r="16" spans="1:10" ht="25.5" x14ac:dyDescent="0.25">
      <c r="A16" s="484"/>
      <c r="B16" s="314" t="s">
        <v>253</v>
      </c>
      <c r="C16" s="316" t="s">
        <v>135</v>
      </c>
      <c r="D16" s="325">
        <f t="shared" si="2"/>
        <v>16.564400000000003</v>
      </c>
      <c r="E16" s="316" t="s">
        <v>249</v>
      </c>
      <c r="F16" s="314" t="s">
        <v>250</v>
      </c>
      <c r="G16" s="316" t="s">
        <v>135</v>
      </c>
      <c r="H16" s="326" t="s">
        <v>198</v>
      </c>
      <c r="I16" s="325" t="s">
        <v>251</v>
      </c>
      <c r="J16" s="327">
        <f>I16*H16</f>
        <v>0.94320000000000004</v>
      </c>
    </row>
    <row r="17" spans="1:10" x14ac:dyDescent="0.25">
      <c r="A17" s="484"/>
      <c r="B17" s="314" t="s">
        <v>253</v>
      </c>
      <c r="C17" s="316" t="s">
        <v>135</v>
      </c>
      <c r="D17" s="325">
        <f t="shared" si="2"/>
        <v>16.564400000000003</v>
      </c>
      <c r="E17" s="316" t="s">
        <v>151</v>
      </c>
      <c r="F17" s="314" t="s">
        <v>152</v>
      </c>
      <c r="G17" s="316" t="s">
        <v>136</v>
      </c>
      <c r="H17" s="326" t="s">
        <v>252</v>
      </c>
      <c r="I17" s="325">
        <v>22.12</v>
      </c>
      <c r="J17" s="327">
        <f>I17*H17</f>
        <v>1.5484000000000002</v>
      </c>
    </row>
    <row r="18" spans="1:10" ht="15.75" thickBot="1" x14ac:dyDescent="0.3">
      <c r="A18" s="485"/>
      <c r="B18" s="315" t="s">
        <v>253</v>
      </c>
      <c r="C18" s="328" t="s">
        <v>135</v>
      </c>
      <c r="D18" s="329">
        <f t="shared" si="2"/>
        <v>16.564400000000003</v>
      </c>
      <c r="E18" s="328" t="s">
        <v>146</v>
      </c>
      <c r="F18" s="315" t="s">
        <v>147</v>
      </c>
      <c r="G18" s="328" t="s">
        <v>136</v>
      </c>
      <c r="H18" s="330" t="s">
        <v>252</v>
      </c>
      <c r="I18" s="329">
        <v>27.04</v>
      </c>
      <c r="J18" s="331">
        <f>I18*H18</f>
        <v>1.8928</v>
      </c>
    </row>
    <row r="19" spans="1:10" ht="15.75" thickBot="1" x14ac:dyDescent="0.3"/>
    <row r="20" spans="1:10" x14ac:dyDescent="0.25">
      <c r="A20" s="95" t="s">
        <v>341</v>
      </c>
      <c r="B20" s="96" t="s">
        <v>342</v>
      </c>
      <c r="C20" s="97" t="s">
        <v>344</v>
      </c>
      <c r="D20" s="97" t="s">
        <v>343</v>
      </c>
      <c r="E20" s="97" t="s">
        <v>345</v>
      </c>
      <c r="F20" s="96" t="s">
        <v>346</v>
      </c>
      <c r="G20" s="97" t="s">
        <v>347</v>
      </c>
      <c r="H20" s="258" t="s">
        <v>348</v>
      </c>
      <c r="I20" s="227" t="s">
        <v>350</v>
      </c>
      <c r="J20" s="228" t="s">
        <v>349</v>
      </c>
    </row>
    <row r="21" spans="1:10" x14ac:dyDescent="0.25">
      <c r="A21" s="484" t="s">
        <v>602</v>
      </c>
      <c r="B21" s="272" t="s">
        <v>247</v>
      </c>
      <c r="C21" s="318" t="s">
        <v>135</v>
      </c>
      <c r="D21" s="251">
        <f>SUM($J$22:$J$26)</f>
        <v>14.434399999999998</v>
      </c>
      <c r="E21" s="318" t="s">
        <v>132</v>
      </c>
      <c r="F21" s="272" t="s">
        <v>132</v>
      </c>
      <c r="G21" s="318" t="s">
        <v>132</v>
      </c>
      <c r="H21" s="332" t="s">
        <v>132</v>
      </c>
      <c r="I21" s="251" t="s">
        <v>132</v>
      </c>
      <c r="J21" s="333" t="s">
        <v>132</v>
      </c>
    </row>
    <row r="22" spans="1:10" x14ac:dyDescent="0.25">
      <c r="A22" s="484"/>
      <c r="B22" s="272" t="s">
        <v>247</v>
      </c>
      <c r="C22" s="318" t="s">
        <v>135</v>
      </c>
      <c r="D22" s="251">
        <f t="shared" ref="D22:D26" si="3">SUM($J$22:$J$26)</f>
        <v>14.434399999999998</v>
      </c>
      <c r="E22" s="318">
        <v>296</v>
      </c>
      <c r="F22" s="272" t="s">
        <v>248</v>
      </c>
      <c r="G22" s="318" t="s">
        <v>135</v>
      </c>
      <c r="H22" s="332" t="s">
        <v>140</v>
      </c>
      <c r="I22" s="251">
        <v>1.44</v>
      </c>
      <c r="J22" s="333">
        <f>I22*H22</f>
        <v>1.44</v>
      </c>
    </row>
    <row r="23" spans="1:10" x14ac:dyDescent="0.25">
      <c r="A23" s="484"/>
      <c r="B23" s="272" t="s">
        <v>247</v>
      </c>
      <c r="C23" s="318" t="s">
        <v>135</v>
      </c>
      <c r="D23" s="251">
        <f t="shared" si="3"/>
        <v>14.434399999999998</v>
      </c>
      <c r="E23" s="318">
        <v>20043</v>
      </c>
      <c r="F23" s="272" t="s">
        <v>247</v>
      </c>
      <c r="G23" s="318" t="s">
        <v>135</v>
      </c>
      <c r="H23" s="332" t="s">
        <v>140</v>
      </c>
      <c r="I23" s="251">
        <v>8.61</v>
      </c>
      <c r="J23" s="333">
        <f>I23*H23</f>
        <v>8.61</v>
      </c>
    </row>
    <row r="24" spans="1:10" ht="25.5" x14ac:dyDescent="0.25">
      <c r="A24" s="484"/>
      <c r="B24" s="272" t="s">
        <v>247</v>
      </c>
      <c r="C24" s="318" t="s">
        <v>135</v>
      </c>
      <c r="D24" s="251">
        <f t="shared" si="3"/>
        <v>14.434399999999998</v>
      </c>
      <c r="E24" s="318" t="s">
        <v>249</v>
      </c>
      <c r="F24" s="272" t="s">
        <v>250</v>
      </c>
      <c r="G24" s="318" t="s">
        <v>135</v>
      </c>
      <c r="H24" s="332" t="s">
        <v>198</v>
      </c>
      <c r="I24" s="251" t="s">
        <v>251</v>
      </c>
      <c r="J24" s="333">
        <f>I24*H24</f>
        <v>0.94320000000000004</v>
      </c>
    </row>
    <row r="25" spans="1:10" x14ac:dyDescent="0.25">
      <c r="A25" s="484"/>
      <c r="B25" s="272" t="s">
        <v>247</v>
      </c>
      <c r="C25" s="318" t="s">
        <v>135</v>
      </c>
      <c r="D25" s="251">
        <f t="shared" si="3"/>
        <v>14.434399999999998</v>
      </c>
      <c r="E25" s="318" t="s">
        <v>151</v>
      </c>
      <c r="F25" s="272" t="s">
        <v>152</v>
      </c>
      <c r="G25" s="318" t="s">
        <v>136</v>
      </c>
      <c r="H25" s="332" t="s">
        <v>252</v>
      </c>
      <c r="I25" s="251">
        <v>22.12</v>
      </c>
      <c r="J25" s="333">
        <f>I25*H25</f>
        <v>1.5484000000000002</v>
      </c>
    </row>
    <row r="26" spans="1:10" ht="15.75" thickBot="1" x14ac:dyDescent="0.3">
      <c r="A26" s="485"/>
      <c r="B26" s="334" t="s">
        <v>247</v>
      </c>
      <c r="C26" s="335" t="s">
        <v>135</v>
      </c>
      <c r="D26" s="336">
        <f t="shared" si="3"/>
        <v>14.434399999999998</v>
      </c>
      <c r="E26" s="335" t="s">
        <v>146</v>
      </c>
      <c r="F26" s="334" t="s">
        <v>147</v>
      </c>
      <c r="G26" s="335" t="s">
        <v>136</v>
      </c>
      <c r="H26" s="337" t="s">
        <v>252</v>
      </c>
      <c r="I26" s="336">
        <v>27.04</v>
      </c>
      <c r="J26" s="338">
        <f>I26*H26</f>
        <v>1.8928</v>
      </c>
    </row>
    <row r="28" spans="1:10" ht="15.75" thickBot="1" x14ac:dyDescent="0.3"/>
    <row r="29" spans="1:10" ht="15.75" thickBot="1" x14ac:dyDescent="0.3">
      <c r="A29" s="116" t="s">
        <v>341</v>
      </c>
      <c r="B29" s="226" t="s">
        <v>342</v>
      </c>
      <c r="C29" s="117" t="s">
        <v>344</v>
      </c>
      <c r="D29" s="117" t="s">
        <v>343</v>
      </c>
      <c r="E29" s="117" t="s">
        <v>345</v>
      </c>
      <c r="F29" s="226" t="s">
        <v>346</v>
      </c>
      <c r="G29" s="117" t="s">
        <v>347</v>
      </c>
      <c r="H29" s="260" t="s">
        <v>348</v>
      </c>
      <c r="I29" s="120" t="s">
        <v>350</v>
      </c>
      <c r="J29" s="229" t="s">
        <v>349</v>
      </c>
    </row>
    <row r="30" spans="1:10" ht="51" x14ac:dyDescent="0.25">
      <c r="A30" s="482" t="s">
        <v>595</v>
      </c>
      <c r="B30" s="271" t="s">
        <v>155</v>
      </c>
      <c r="C30" s="324" t="s">
        <v>153</v>
      </c>
      <c r="D30" s="270">
        <f>SUM(J31:J32)</f>
        <v>11.0685</v>
      </c>
      <c r="E30" s="324" t="s">
        <v>132</v>
      </c>
      <c r="F30" s="271" t="s">
        <v>132</v>
      </c>
      <c r="G30" s="324" t="s">
        <v>132</v>
      </c>
      <c r="H30" s="339" t="s">
        <v>132</v>
      </c>
      <c r="I30" s="270" t="s">
        <v>132</v>
      </c>
      <c r="J30" s="340" t="s">
        <v>132</v>
      </c>
    </row>
    <row r="31" spans="1:10" ht="51" x14ac:dyDescent="0.25">
      <c r="A31" s="482"/>
      <c r="B31" s="272" t="s">
        <v>155</v>
      </c>
      <c r="C31" s="318" t="s">
        <v>153</v>
      </c>
      <c r="D31" s="251">
        <f>D30</f>
        <v>11.0685</v>
      </c>
      <c r="E31" s="318">
        <v>37539</v>
      </c>
      <c r="F31" s="272" t="s">
        <v>154</v>
      </c>
      <c r="G31" s="318" t="s">
        <v>135</v>
      </c>
      <c r="H31" s="332">
        <v>1</v>
      </c>
      <c r="I31" s="251">
        <v>10</v>
      </c>
      <c r="J31" s="333">
        <f>I31*H31</f>
        <v>10</v>
      </c>
    </row>
    <row r="32" spans="1:10" ht="51.75" thickBot="1" x14ac:dyDescent="0.3">
      <c r="A32" s="483"/>
      <c r="B32" s="334" t="s">
        <v>155</v>
      </c>
      <c r="C32" s="335" t="s">
        <v>153</v>
      </c>
      <c r="D32" s="336">
        <f>D30</f>
        <v>11.0685</v>
      </c>
      <c r="E32" s="335" t="s">
        <v>137</v>
      </c>
      <c r="F32" s="334" t="s">
        <v>138</v>
      </c>
      <c r="G32" s="335" t="s">
        <v>136</v>
      </c>
      <c r="H32" s="337">
        <v>0.05</v>
      </c>
      <c r="I32" s="336">
        <v>21.37</v>
      </c>
      <c r="J32" s="338">
        <f>I32*H32</f>
        <v>1.0685</v>
      </c>
    </row>
    <row r="33" spans="1:12" ht="15.75" thickBot="1" x14ac:dyDescent="0.3"/>
    <row r="34" spans="1:12" x14ac:dyDescent="0.25">
      <c r="A34" s="95" t="s">
        <v>341</v>
      </c>
      <c r="B34" s="96" t="s">
        <v>342</v>
      </c>
      <c r="C34" s="97" t="s">
        <v>344</v>
      </c>
      <c r="D34" s="97" t="s">
        <v>343</v>
      </c>
      <c r="E34" s="97" t="s">
        <v>345</v>
      </c>
      <c r="F34" s="96" t="s">
        <v>346</v>
      </c>
      <c r="G34" s="97" t="s">
        <v>347</v>
      </c>
      <c r="H34" s="258" t="s">
        <v>348</v>
      </c>
      <c r="I34" s="227" t="s">
        <v>350</v>
      </c>
      <c r="J34" s="228" t="s">
        <v>349</v>
      </c>
    </row>
    <row r="35" spans="1:12" ht="38.25" x14ac:dyDescent="0.25">
      <c r="A35" s="490" t="s">
        <v>596</v>
      </c>
      <c r="B35" s="272" t="s">
        <v>221</v>
      </c>
      <c r="C35" s="318" t="s">
        <v>153</v>
      </c>
      <c r="D35" s="251">
        <f>SUM(J36:J37)</f>
        <v>7.0385</v>
      </c>
      <c r="E35" s="318" t="s">
        <v>132</v>
      </c>
      <c r="F35" s="272" t="s">
        <v>132</v>
      </c>
      <c r="G35" s="318" t="s">
        <v>132</v>
      </c>
      <c r="H35" s="332" t="s">
        <v>132</v>
      </c>
      <c r="I35" s="251" t="s">
        <v>132</v>
      </c>
      <c r="J35" s="333" t="s">
        <v>132</v>
      </c>
    </row>
    <row r="36" spans="1:12" ht="38.25" x14ac:dyDescent="0.25">
      <c r="A36" s="490"/>
      <c r="B36" s="272" t="s">
        <v>221</v>
      </c>
      <c r="C36" s="318" t="s">
        <v>153</v>
      </c>
      <c r="D36" s="251">
        <f>D35</f>
        <v>7.0385</v>
      </c>
      <c r="E36" s="318">
        <v>37557</v>
      </c>
      <c r="F36" s="272" t="s">
        <v>221</v>
      </c>
      <c r="G36" s="318" t="s">
        <v>135</v>
      </c>
      <c r="H36" s="332">
        <v>1</v>
      </c>
      <c r="I36" s="251">
        <v>5.97</v>
      </c>
      <c r="J36" s="333">
        <f>I36*H36</f>
        <v>5.97</v>
      </c>
    </row>
    <row r="37" spans="1:12" ht="39" thickBot="1" x14ac:dyDescent="0.3">
      <c r="A37" s="491"/>
      <c r="B37" s="334" t="s">
        <v>221</v>
      </c>
      <c r="C37" s="335" t="s">
        <v>153</v>
      </c>
      <c r="D37" s="336">
        <f>D35</f>
        <v>7.0385</v>
      </c>
      <c r="E37" s="335" t="s">
        <v>137</v>
      </c>
      <c r="F37" s="334" t="s">
        <v>138</v>
      </c>
      <c r="G37" s="335" t="s">
        <v>136</v>
      </c>
      <c r="H37" s="337">
        <v>0.05</v>
      </c>
      <c r="I37" s="336">
        <v>21.37</v>
      </c>
      <c r="J37" s="338">
        <f>I37*H37</f>
        <v>1.0685</v>
      </c>
    </row>
    <row r="38" spans="1:12" ht="15.75" thickBot="1" x14ac:dyDescent="0.3"/>
    <row r="39" spans="1:12" x14ac:dyDescent="0.25">
      <c r="A39" s="95" t="s">
        <v>341</v>
      </c>
      <c r="B39" s="96" t="s">
        <v>342</v>
      </c>
      <c r="C39" s="97" t="s">
        <v>344</v>
      </c>
      <c r="D39" s="97" t="s">
        <v>343</v>
      </c>
      <c r="E39" s="97" t="s">
        <v>345</v>
      </c>
      <c r="F39" s="96" t="s">
        <v>346</v>
      </c>
      <c r="G39" s="97" t="s">
        <v>347</v>
      </c>
      <c r="H39" s="258" t="s">
        <v>348</v>
      </c>
      <c r="I39" s="227" t="s">
        <v>350</v>
      </c>
      <c r="J39" s="228" t="s">
        <v>349</v>
      </c>
    </row>
    <row r="40" spans="1:12" ht="25.5" x14ac:dyDescent="0.25">
      <c r="A40" s="475" t="s">
        <v>747</v>
      </c>
      <c r="B40" s="341" t="s">
        <v>210</v>
      </c>
      <c r="C40" s="318" t="s">
        <v>135</v>
      </c>
      <c r="D40" s="251">
        <f>SUM(J41:J44)</f>
        <v>113.38593</v>
      </c>
      <c r="E40" s="318" t="s">
        <v>132</v>
      </c>
      <c r="F40" s="272" t="s">
        <v>132</v>
      </c>
      <c r="G40" s="318" t="s">
        <v>132</v>
      </c>
      <c r="H40" s="332" t="s">
        <v>132</v>
      </c>
      <c r="I40" s="251" t="s">
        <v>132</v>
      </c>
      <c r="J40" s="333" t="s">
        <v>132</v>
      </c>
    </row>
    <row r="41" spans="1:12" ht="25.5" x14ac:dyDescent="0.25">
      <c r="A41" s="476"/>
      <c r="B41" s="341" t="s">
        <v>211</v>
      </c>
      <c r="C41" s="318" t="s">
        <v>135</v>
      </c>
      <c r="D41" s="251">
        <f>D40</f>
        <v>113.38593</v>
      </c>
      <c r="E41" s="318">
        <v>1576</v>
      </c>
      <c r="F41" s="272" t="s">
        <v>694</v>
      </c>
      <c r="G41" s="318" t="s">
        <v>135</v>
      </c>
      <c r="H41" s="332" t="s">
        <v>178</v>
      </c>
      <c r="I41" s="251">
        <v>2.46</v>
      </c>
      <c r="J41" s="333">
        <f>H41*I41</f>
        <v>7.38</v>
      </c>
    </row>
    <row r="42" spans="1:12" ht="25.5" x14ac:dyDescent="0.25">
      <c r="A42" s="476"/>
      <c r="B42" s="341" t="s">
        <v>212</v>
      </c>
      <c r="C42" s="318" t="s">
        <v>135</v>
      </c>
      <c r="D42" s="251">
        <f t="shared" ref="D42:D44" si="4">D41</f>
        <v>113.38593</v>
      </c>
      <c r="E42" s="318" t="s">
        <v>179</v>
      </c>
      <c r="F42" s="272" t="s">
        <v>215</v>
      </c>
      <c r="G42" s="318" t="s">
        <v>135</v>
      </c>
      <c r="H42" s="332">
        <v>1</v>
      </c>
      <c r="I42" s="251">
        <v>77.11</v>
      </c>
      <c r="J42" s="333">
        <f t="shared" ref="J42:J44" si="5">H42*I42</f>
        <v>77.11</v>
      </c>
    </row>
    <row r="43" spans="1:12" ht="25.5" x14ac:dyDescent="0.25">
      <c r="A43" s="476"/>
      <c r="B43" s="341" t="s">
        <v>213</v>
      </c>
      <c r="C43" s="318" t="s">
        <v>135</v>
      </c>
      <c r="D43" s="251">
        <f>D42</f>
        <v>113.38593</v>
      </c>
      <c r="E43" s="318" t="s">
        <v>180</v>
      </c>
      <c r="F43" s="272" t="s">
        <v>181</v>
      </c>
      <c r="G43" s="318" t="s">
        <v>136</v>
      </c>
      <c r="H43" s="332" t="s">
        <v>182</v>
      </c>
      <c r="I43" s="251">
        <v>22.95</v>
      </c>
      <c r="J43" s="333">
        <f t="shared" si="5"/>
        <v>13.028715</v>
      </c>
    </row>
    <row r="44" spans="1:12" ht="26.25" thickBot="1" x14ac:dyDescent="0.3">
      <c r="A44" s="477"/>
      <c r="B44" s="342" t="s">
        <v>214</v>
      </c>
      <c r="C44" s="335" t="s">
        <v>135</v>
      </c>
      <c r="D44" s="336">
        <f t="shared" si="4"/>
        <v>113.38593</v>
      </c>
      <c r="E44" s="335" t="s">
        <v>183</v>
      </c>
      <c r="F44" s="334" t="s">
        <v>184</v>
      </c>
      <c r="G44" s="335" t="s">
        <v>136</v>
      </c>
      <c r="H44" s="337" t="s">
        <v>182</v>
      </c>
      <c r="I44" s="336">
        <v>27.95</v>
      </c>
      <c r="J44" s="338">
        <f t="shared" si="5"/>
        <v>15.867215</v>
      </c>
    </row>
    <row r="46" spans="1:12" ht="15.75" thickBot="1" x14ac:dyDescent="0.3"/>
    <row r="47" spans="1:12" x14ac:dyDescent="0.25">
      <c r="A47" s="95" t="s">
        <v>341</v>
      </c>
      <c r="B47" s="96" t="s">
        <v>342</v>
      </c>
      <c r="C47" s="97" t="s">
        <v>344</v>
      </c>
      <c r="D47" s="97" t="s">
        <v>343</v>
      </c>
      <c r="E47" s="97" t="s">
        <v>345</v>
      </c>
      <c r="F47" s="96" t="s">
        <v>346</v>
      </c>
      <c r="G47" s="97" t="s">
        <v>347</v>
      </c>
      <c r="H47" s="258" t="s">
        <v>348</v>
      </c>
      <c r="I47" s="227" t="s">
        <v>350</v>
      </c>
      <c r="J47" s="228" t="s">
        <v>349</v>
      </c>
    </row>
    <row r="48" spans="1:12" ht="38.25" x14ac:dyDescent="0.25">
      <c r="A48" s="481" t="s">
        <v>748</v>
      </c>
      <c r="B48" s="272" t="s">
        <v>720</v>
      </c>
      <c r="C48" s="318" t="s">
        <v>133</v>
      </c>
      <c r="D48" s="251">
        <f>SUM(J48:J55)</f>
        <v>88.859742999999995</v>
      </c>
      <c r="E48" s="318" t="s">
        <v>132</v>
      </c>
      <c r="F48" s="272" t="s">
        <v>132</v>
      </c>
      <c r="G48" s="318" t="s">
        <v>132</v>
      </c>
      <c r="H48" s="332" t="s">
        <v>132</v>
      </c>
      <c r="I48" s="251" t="s">
        <v>132</v>
      </c>
      <c r="J48" s="333" t="s">
        <v>132</v>
      </c>
      <c r="K48" s="58" t="s">
        <v>132</v>
      </c>
      <c r="L48" s="58" t="s">
        <v>132</v>
      </c>
    </row>
    <row r="49" spans="1:10" ht="38.25" x14ac:dyDescent="0.25">
      <c r="A49" s="482"/>
      <c r="B49" s="272" t="s">
        <v>720</v>
      </c>
      <c r="C49" s="318" t="s">
        <v>133</v>
      </c>
      <c r="D49" s="251">
        <f>D48</f>
        <v>88.859742999999995</v>
      </c>
      <c r="E49" s="318" t="s">
        <v>716</v>
      </c>
      <c r="F49" s="272" t="s">
        <v>201</v>
      </c>
      <c r="G49" s="318" t="s">
        <v>133</v>
      </c>
      <c r="H49" s="332">
        <v>0.97299999999999998</v>
      </c>
      <c r="I49" s="251">
        <f>89.95/3</f>
        <v>29.983333333333334</v>
      </c>
      <c r="J49" s="333">
        <f>H49*I49</f>
        <v>29.173783333333333</v>
      </c>
    </row>
    <row r="50" spans="1:10" ht="38.25" x14ac:dyDescent="0.25">
      <c r="A50" s="482"/>
      <c r="B50" s="272" t="s">
        <v>720</v>
      </c>
      <c r="C50" s="318" t="s">
        <v>133</v>
      </c>
      <c r="D50" s="251">
        <f>D49</f>
        <v>88.859742999999995</v>
      </c>
      <c r="E50" s="318" t="s">
        <v>716</v>
      </c>
      <c r="F50" s="272" t="s">
        <v>209</v>
      </c>
      <c r="G50" s="318" t="s">
        <v>133</v>
      </c>
      <c r="H50" s="332">
        <v>0.97299999999999998</v>
      </c>
      <c r="I50" s="251">
        <f>61.6/3</f>
        <v>20.533333333333335</v>
      </c>
      <c r="J50" s="333">
        <f t="shared" ref="J50:J55" si="6">H50*I50</f>
        <v>19.978933333333334</v>
      </c>
    </row>
    <row r="51" spans="1:10" ht="38.25" x14ac:dyDescent="0.25">
      <c r="A51" s="482"/>
      <c r="B51" s="272" t="s">
        <v>720</v>
      </c>
      <c r="C51" s="318" t="s">
        <v>133</v>
      </c>
      <c r="D51" s="251">
        <f>D50</f>
        <v>88.859742999999995</v>
      </c>
      <c r="E51" s="318" t="s">
        <v>716</v>
      </c>
      <c r="F51" s="272" t="s">
        <v>224</v>
      </c>
      <c r="G51" s="318" t="s">
        <v>133</v>
      </c>
      <c r="H51" s="332">
        <v>0.97299999999999998</v>
      </c>
      <c r="I51" s="251">
        <f>29.95/3</f>
        <v>9.9833333333333325</v>
      </c>
      <c r="J51" s="333">
        <f t="shared" si="6"/>
        <v>9.7137833333333319</v>
      </c>
    </row>
    <row r="52" spans="1:10" ht="38.25" x14ac:dyDescent="0.25">
      <c r="A52" s="482"/>
      <c r="B52" s="272" t="s">
        <v>720</v>
      </c>
      <c r="C52" s="318" t="s">
        <v>133</v>
      </c>
      <c r="D52" s="251">
        <f>D49</f>
        <v>88.859742999999995</v>
      </c>
      <c r="E52" s="318" t="s">
        <v>180</v>
      </c>
      <c r="F52" s="272" t="s">
        <v>181</v>
      </c>
      <c r="G52" s="318" t="s">
        <v>136</v>
      </c>
      <c r="H52" s="332">
        <v>0.12</v>
      </c>
      <c r="I52" s="251">
        <v>22.95</v>
      </c>
      <c r="J52" s="333">
        <f t="shared" si="6"/>
        <v>2.754</v>
      </c>
    </row>
    <row r="53" spans="1:10" ht="38.25" x14ac:dyDescent="0.25">
      <c r="A53" s="482"/>
      <c r="B53" s="272" t="s">
        <v>720</v>
      </c>
      <c r="C53" s="318" t="s">
        <v>133</v>
      </c>
      <c r="D53" s="251">
        <f t="shared" ref="D53:D55" si="7">D52</f>
        <v>88.859742999999995</v>
      </c>
      <c r="E53" s="318" t="s">
        <v>183</v>
      </c>
      <c r="F53" s="272" t="s">
        <v>184</v>
      </c>
      <c r="G53" s="318" t="s">
        <v>136</v>
      </c>
      <c r="H53" s="332">
        <v>0.12</v>
      </c>
      <c r="I53" s="251">
        <v>27.95</v>
      </c>
      <c r="J53" s="333">
        <f t="shared" si="6"/>
        <v>3.3539999999999996</v>
      </c>
    </row>
    <row r="54" spans="1:10" ht="38.25" x14ac:dyDescent="0.25">
      <c r="A54" s="482"/>
      <c r="B54" s="272" t="s">
        <v>720</v>
      </c>
      <c r="C54" s="318" t="s">
        <v>133</v>
      </c>
      <c r="D54" s="251">
        <f t="shared" si="7"/>
        <v>88.859742999999995</v>
      </c>
      <c r="E54" s="318" t="s">
        <v>716</v>
      </c>
      <c r="F54" s="272" t="s">
        <v>711</v>
      </c>
      <c r="G54" s="318" t="s">
        <v>135</v>
      </c>
      <c r="H54" s="332" t="s">
        <v>140</v>
      </c>
      <c r="I54" s="251">
        <v>9.65</v>
      </c>
      <c r="J54" s="333">
        <f t="shared" si="6"/>
        <v>9.65</v>
      </c>
    </row>
    <row r="55" spans="1:10" ht="38.25" x14ac:dyDescent="0.25">
      <c r="A55" s="489"/>
      <c r="B55" s="272" t="s">
        <v>720</v>
      </c>
      <c r="C55" s="318" t="s">
        <v>133</v>
      </c>
      <c r="D55" s="251">
        <f t="shared" si="7"/>
        <v>88.859742999999995</v>
      </c>
      <c r="E55" s="272" t="s">
        <v>482</v>
      </c>
      <c r="F55" s="272" t="s">
        <v>200</v>
      </c>
      <c r="G55" s="318" t="s">
        <v>135</v>
      </c>
      <c r="H55" s="332" t="s">
        <v>194</v>
      </c>
      <c r="I55" s="251">
        <v>42.71</v>
      </c>
      <c r="J55" s="333">
        <f t="shared" si="6"/>
        <v>14.235243000000001</v>
      </c>
    </row>
    <row r="56" spans="1:10" ht="16.5" customHeight="1" x14ac:dyDescent="0.25">
      <c r="A56" s="343"/>
      <c r="B56" s="344" t="s">
        <v>361</v>
      </c>
      <c r="C56" s="345"/>
      <c r="D56" s="345"/>
      <c r="E56" s="345"/>
      <c r="F56" s="345"/>
      <c r="G56" s="320"/>
      <c r="H56" s="346"/>
      <c r="I56" s="347"/>
      <c r="J56" s="348"/>
    </row>
    <row r="57" spans="1:10" ht="16.5" customHeight="1" thickBot="1" x14ac:dyDescent="0.3">
      <c r="A57" s="349"/>
      <c r="B57" s="350"/>
      <c r="C57" s="351"/>
      <c r="D57" s="352"/>
      <c r="E57" s="351"/>
      <c r="F57" s="350"/>
      <c r="G57" s="351"/>
      <c r="H57" s="353"/>
      <c r="I57" s="352"/>
      <c r="J57" s="354"/>
    </row>
    <row r="58" spans="1:10" ht="15.75" thickBot="1" x14ac:dyDescent="0.3"/>
    <row r="59" spans="1:10" x14ac:dyDescent="0.25">
      <c r="A59" s="95" t="s">
        <v>341</v>
      </c>
      <c r="B59" s="96" t="s">
        <v>342</v>
      </c>
      <c r="C59" s="97" t="s">
        <v>344</v>
      </c>
      <c r="D59" s="97" t="s">
        <v>343</v>
      </c>
      <c r="E59" s="97" t="s">
        <v>345</v>
      </c>
      <c r="F59" s="96" t="s">
        <v>346</v>
      </c>
      <c r="G59" s="97" t="s">
        <v>347</v>
      </c>
      <c r="H59" s="258" t="s">
        <v>348</v>
      </c>
      <c r="I59" s="227" t="s">
        <v>350</v>
      </c>
      <c r="J59" s="228" t="s">
        <v>349</v>
      </c>
    </row>
    <row r="60" spans="1:10" ht="38.25" x14ac:dyDescent="0.25">
      <c r="A60" s="481" t="s">
        <v>749</v>
      </c>
      <c r="B60" s="272" t="s">
        <v>203</v>
      </c>
      <c r="C60" s="318" t="s">
        <v>135</v>
      </c>
      <c r="D60" s="251">
        <f>SUM(J60:J67)</f>
        <v>42.7072</v>
      </c>
      <c r="E60" s="318" t="s">
        <v>132</v>
      </c>
      <c r="F60" s="272" t="s">
        <v>132</v>
      </c>
      <c r="G60" s="318" t="s">
        <v>132</v>
      </c>
      <c r="H60" s="332" t="s">
        <v>132</v>
      </c>
      <c r="I60" s="251" t="s">
        <v>132</v>
      </c>
      <c r="J60" s="333" t="s">
        <v>132</v>
      </c>
    </row>
    <row r="61" spans="1:10" ht="38.25" x14ac:dyDescent="0.25">
      <c r="A61" s="482"/>
      <c r="B61" s="272" t="s">
        <v>203</v>
      </c>
      <c r="C61" s="318" t="s">
        <v>135</v>
      </c>
      <c r="D61" s="251">
        <f>D60</f>
        <v>42.7072</v>
      </c>
      <c r="E61" s="318" t="s">
        <v>716</v>
      </c>
      <c r="F61" s="272" t="s">
        <v>204</v>
      </c>
      <c r="G61" s="318" t="s">
        <v>135</v>
      </c>
      <c r="H61" s="332">
        <v>1</v>
      </c>
      <c r="I61" s="251">
        <v>6.3</v>
      </c>
      <c r="J61" s="333">
        <f>H61*I61</f>
        <v>6.3</v>
      </c>
    </row>
    <row r="62" spans="1:10" ht="38.25" x14ac:dyDescent="0.25">
      <c r="A62" s="482"/>
      <c r="B62" s="272" t="s">
        <v>203</v>
      </c>
      <c r="C62" s="318" t="s">
        <v>135</v>
      </c>
      <c r="D62" s="251">
        <f>D61</f>
        <v>42.7072</v>
      </c>
      <c r="E62" s="318" t="s">
        <v>716</v>
      </c>
      <c r="F62" s="272" t="s">
        <v>205</v>
      </c>
      <c r="G62" s="318" t="s">
        <v>135</v>
      </c>
      <c r="H62" s="332">
        <v>4</v>
      </c>
      <c r="I62" s="251">
        <v>1.6</v>
      </c>
      <c r="J62" s="333">
        <f>H62*I62</f>
        <v>6.4</v>
      </c>
    </row>
    <row r="63" spans="1:10" ht="38.25" x14ac:dyDescent="0.25">
      <c r="A63" s="482"/>
      <c r="B63" s="272" t="s">
        <v>203</v>
      </c>
      <c r="C63" s="318" t="s">
        <v>135</v>
      </c>
      <c r="D63" s="251">
        <f>D62</f>
        <v>42.7072</v>
      </c>
      <c r="E63" s="318" t="s">
        <v>716</v>
      </c>
      <c r="F63" s="272" t="s">
        <v>206</v>
      </c>
      <c r="G63" s="318" t="s">
        <v>135</v>
      </c>
      <c r="H63" s="332">
        <v>16.8</v>
      </c>
      <c r="I63" s="251">
        <v>0.25900000000000001</v>
      </c>
      <c r="J63" s="333">
        <f>H63*I63</f>
        <v>4.3512000000000004</v>
      </c>
    </row>
    <row r="64" spans="1:10" ht="38.25" x14ac:dyDescent="0.25">
      <c r="A64" s="482"/>
      <c r="B64" s="272" t="s">
        <v>203</v>
      </c>
      <c r="C64" s="318" t="s">
        <v>135</v>
      </c>
      <c r="D64" s="251">
        <f>D63</f>
        <v>42.7072</v>
      </c>
      <c r="E64" s="318">
        <v>39208</v>
      </c>
      <c r="F64" s="272" t="s">
        <v>207</v>
      </c>
      <c r="G64" s="318" t="s">
        <v>135</v>
      </c>
      <c r="H64" s="332">
        <v>16.8</v>
      </c>
      <c r="I64" s="251">
        <v>0.52</v>
      </c>
      <c r="J64" s="333">
        <f>H64*I64</f>
        <v>8.7360000000000007</v>
      </c>
    </row>
    <row r="65" spans="1:13" ht="38.25" x14ac:dyDescent="0.25">
      <c r="A65" s="482"/>
      <c r="B65" s="272" t="s">
        <v>203</v>
      </c>
      <c r="C65" s="318" t="s">
        <v>135</v>
      </c>
      <c r="D65" s="251">
        <f>D64</f>
        <v>42.7072</v>
      </c>
      <c r="E65" s="318">
        <v>39997</v>
      </c>
      <c r="F65" s="272" t="s">
        <v>208</v>
      </c>
      <c r="G65" s="318" t="s">
        <v>135</v>
      </c>
      <c r="H65" s="332">
        <v>16.8</v>
      </c>
      <c r="I65" s="251">
        <v>0.28000000000000003</v>
      </c>
      <c r="J65" s="333">
        <f>H65*I65</f>
        <v>4.7040000000000006</v>
      </c>
    </row>
    <row r="66" spans="1:13" ht="38.25" x14ac:dyDescent="0.25">
      <c r="A66" s="482"/>
      <c r="B66" s="272" t="s">
        <v>203</v>
      </c>
      <c r="C66" s="318" t="s">
        <v>135</v>
      </c>
      <c r="D66" s="251">
        <f>D61</f>
        <v>42.7072</v>
      </c>
      <c r="E66" s="318" t="s">
        <v>180</v>
      </c>
      <c r="F66" s="272" t="s">
        <v>181</v>
      </c>
      <c r="G66" s="318" t="s">
        <v>136</v>
      </c>
      <c r="H66" s="332">
        <v>0.24</v>
      </c>
      <c r="I66" s="251">
        <v>22.95</v>
      </c>
      <c r="J66" s="333">
        <f t="shared" ref="J66:J67" si="8">H66*I66</f>
        <v>5.508</v>
      </c>
    </row>
    <row r="67" spans="1:13" ht="39" thickBot="1" x14ac:dyDescent="0.3">
      <c r="A67" s="483"/>
      <c r="B67" s="334" t="s">
        <v>203</v>
      </c>
      <c r="C67" s="335" t="s">
        <v>135</v>
      </c>
      <c r="D67" s="336">
        <f t="shared" ref="D67" si="9">D66</f>
        <v>42.7072</v>
      </c>
      <c r="E67" s="335" t="s">
        <v>183</v>
      </c>
      <c r="F67" s="334" t="s">
        <v>184</v>
      </c>
      <c r="G67" s="335" t="s">
        <v>136</v>
      </c>
      <c r="H67" s="337">
        <v>0.24</v>
      </c>
      <c r="I67" s="336">
        <v>27.95</v>
      </c>
      <c r="J67" s="338">
        <f t="shared" si="8"/>
        <v>6.7079999999999993</v>
      </c>
    </row>
    <row r="68" spans="1:13" ht="15.75" thickBot="1" x14ac:dyDescent="0.3">
      <c r="A68" s="250"/>
      <c r="B68" s="267"/>
      <c r="C68" s="250"/>
      <c r="D68" s="268"/>
      <c r="E68" s="250"/>
      <c r="F68" s="267"/>
      <c r="G68" s="250"/>
      <c r="H68" s="269"/>
      <c r="I68" s="268"/>
      <c r="J68" s="268"/>
    </row>
    <row r="69" spans="1:13" x14ac:dyDescent="0.25">
      <c r="A69" s="95" t="s">
        <v>341</v>
      </c>
      <c r="B69" s="96" t="s">
        <v>342</v>
      </c>
      <c r="C69" s="97" t="s">
        <v>344</v>
      </c>
      <c r="D69" s="97" t="s">
        <v>343</v>
      </c>
      <c r="E69" s="97" t="s">
        <v>345</v>
      </c>
      <c r="F69" s="96" t="s">
        <v>346</v>
      </c>
      <c r="G69" s="97" t="s">
        <v>347</v>
      </c>
      <c r="H69" s="258" t="s">
        <v>348</v>
      </c>
      <c r="I69" s="227" t="s">
        <v>350</v>
      </c>
      <c r="J69" s="228" t="s">
        <v>349</v>
      </c>
    </row>
    <row r="70" spans="1:13" ht="38.25" x14ac:dyDescent="0.25">
      <c r="A70" s="481" t="s">
        <v>750</v>
      </c>
      <c r="B70" s="272" t="s">
        <v>717</v>
      </c>
      <c r="C70" s="318" t="s">
        <v>135</v>
      </c>
      <c r="D70" s="251">
        <f>SUM(J70:J78)</f>
        <v>82.042900000000003</v>
      </c>
      <c r="E70" s="318" t="s">
        <v>132</v>
      </c>
      <c r="F70" s="272" t="s">
        <v>132</v>
      </c>
      <c r="G70" s="318" t="s">
        <v>132</v>
      </c>
      <c r="H70" s="332" t="s">
        <v>132</v>
      </c>
      <c r="I70" s="251" t="s">
        <v>132</v>
      </c>
      <c r="J70" s="333" t="s">
        <v>132</v>
      </c>
    </row>
    <row r="71" spans="1:13" ht="38.25" x14ac:dyDescent="0.25">
      <c r="A71" s="482"/>
      <c r="B71" s="272" t="s">
        <v>717</v>
      </c>
      <c r="C71" s="318" t="s">
        <v>135</v>
      </c>
      <c r="D71" s="251">
        <f>D70</f>
        <v>82.042900000000003</v>
      </c>
      <c r="E71" s="318" t="s">
        <v>180</v>
      </c>
      <c r="F71" s="272" t="s">
        <v>181</v>
      </c>
      <c r="G71" s="318" t="s">
        <v>136</v>
      </c>
      <c r="H71" s="332">
        <v>0.36099999999999999</v>
      </c>
      <c r="I71" s="251">
        <v>22.95</v>
      </c>
      <c r="J71" s="333">
        <f t="shared" ref="J71:J78" si="10">H71*I71</f>
        <v>8.2849500000000003</v>
      </c>
    </row>
    <row r="72" spans="1:13" ht="38.25" x14ac:dyDescent="0.25">
      <c r="A72" s="482"/>
      <c r="B72" s="272" t="s">
        <v>717</v>
      </c>
      <c r="C72" s="318" t="s">
        <v>135</v>
      </c>
      <c r="D72" s="251">
        <f>D71</f>
        <v>82.042900000000003</v>
      </c>
      <c r="E72" s="318" t="s">
        <v>183</v>
      </c>
      <c r="F72" s="272" t="s">
        <v>184</v>
      </c>
      <c r="G72" s="318" t="s">
        <v>136</v>
      </c>
      <c r="H72" s="332">
        <v>0.36099999999999999</v>
      </c>
      <c r="I72" s="251">
        <v>27.95</v>
      </c>
      <c r="J72" s="333">
        <f t="shared" si="10"/>
        <v>10.08995</v>
      </c>
      <c r="M72" s="48"/>
    </row>
    <row r="73" spans="1:13" ht="38.25" x14ac:dyDescent="0.25">
      <c r="A73" s="482"/>
      <c r="B73" s="272" t="s">
        <v>717</v>
      </c>
      <c r="C73" s="318" t="s">
        <v>135</v>
      </c>
      <c r="D73" s="251">
        <f>D72</f>
        <v>82.042900000000003</v>
      </c>
      <c r="E73" s="318" t="s">
        <v>716</v>
      </c>
      <c r="F73" s="272" t="s">
        <v>712</v>
      </c>
      <c r="G73" s="318" t="s">
        <v>135</v>
      </c>
      <c r="H73" s="332">
        <v>1</v>
      </c>
      <c r="I73" s="251">
        <v>30.7</v>
      </c>
      <c r="J73" s="333">
        <f t="shared" si="10"/>
        <v>30.7</v>
      </c>
    </row>
    <row r="74" spans="1:13" ht="38.25" x14ac:dyDescent="0.25">
      <c r="A74" s="482"/>
      <c r="B74" s="272" t="s">
        <v>717</v>
      </c>
      <c r="C74" s="318" t="s">
        <v>135</v>
      </c>
      <c r="D74" s="251">
        <f>D73</f>
        <v>82.042900000000003</v>
      </c>
      <c r="E74" s="318" t="s">
        <v>716</v>
      </c>
      <c r="F74" s="272" t="s">
        <v>715</v>
      </c>
      <c r="G74" s="318" t="s">
        <v>135</v>
      </c>
      <c r="H74" s="332">
        <v>1</v>
      </c>
      <c r="I74" s="251">
        <v>18</v>
      </c>
      <c r="J74" s="333">
        <f t="shared" si="10"/>
        <v>18</v>
      </c>
    </row>
    <row r="75" spans="1:13" ht="38.25" x14ac:dyDescent="0.25">
      <c r="A75" s="482"/>
      <c r="B75" s="272" t="s">
        <v>717</v>
      </c>
      <c r="C75" s="318" t="s">
        <v>135</v>
      </c>
      <c r="D75" s="251">
        <f>D73</f>
        <v>82.042900000000003</v>
      </c>
      <c r="E75" s="318" t="s">
        <v>716</v>
      </c>
      <c r="F75" s="272" t="s">
        <v>713</v>
      </c>
      <c r="G75" s="318" t="s">
        <v>135</v>
      </c>
      <c r="H75" s="332">
        <v>4</v>
      </c>
      <c r="I75" s="251">
        <v>1.6</v>
      </c>
      <c r="J75" s="333">
        <f t="shared" si="10"/>
        <v>6.4</v>
      </c>
    </row>
    <row r="76" spans="1:13" ht="38.25" x14ac:dyDescent="0.25">
      <c r="A76" s="482"/>
      <c r="B76" s="272" t="s">
        <v>717</v>
      </c>
      <c r="C76" s="318" t="s">
        <v>135</v>
      </c>
      <c r="D76" s="251">
        <f>D75</f>
        <v>82.042900000000003</v>
      </c>
      <c r="E76" s="318" t="s">
        <v>716</v>
      </c>
      <c r="F76" s="272" t="s">
        <v>718</v>
      </c>
      <c r="G76" s="318" t="s">
        <v>135</v>
      </c>
      <c r="H76" s="332">
        <v>16.8</v>
      </c>
      <c r="I76" s="251">
        <v>0.26</v>
      </c>
      <c r="J76" s="333">
        <f t="shared" si="10"/>
        <v>4.3680000000000003</v>
      </c>
    </row>
    <row r="77" spans="1:13" ht="38.25" x14ac:dyDescent="0.25">
      <c r="A77" s="482"/>
      <c r="B77" s="272" t="s">
        <v>717</v>
      </c>
      <c r="C77" s="318" t="s">
        <v>135</v>
      </c>
      <c r="D77" s="251">
        <f>D71</f>
        <v>82.042900000000003</v>
      </c>
      <c r="E77" s="318" t="s">
        <v>716</v>
      </c>
      <c r="F77" s="272" t="s">
        <v>719</v>
      </c>
      <c r="G77" s="318" t="s">
        <v>135</v>
      </c>
      <c r="H77" s="332">
        <v>16.8</v>
      </c>
      <c r="I77" s="251">
        <v>0.09</v>
      </c>
      <c r="J77" s="333">
        <f t="shared" si="10"/>
        <v>1.512</v>
      </c>
    </row>
    <row r="78" spans="1:13" ht="39" thickBot="1" x14ac:dyDescent="0.3">
      <c r="A78" s="483"/>
      <c r="B78" s="334" t="s">
        <v>717</v>
      </c>
      <c r="C78" s="335" t="s">
        <v>135</v>
      </c>
      <c r="D78" s="336">
        <f t="shared" ref="D78" si="11">D77</f>
        <v>82.042900000000003</v>
      </c>
      <c r="E78" s="335" t="s">
        <v>716</v>
      </c>
      <c r="F78" s="334" t="s">
        <v>208</v>
      </c>
      <c r="G78" s="335" t="s">
        <v>135</v>
      </c>
      <c r="H78" s="337">
        <v>16.8</v>
      </c>
      <c r="I78" s="336">
        <v>0.16</v>
      </c>
      <c r="J78" s="338">
        <f t="shared" si="10"/>
        <v>2.6880000000000002</v>
      </c>
    </row>
    <row r="79" spans="1:13" x14ac:dyDescent="0.25">
      <c r="A79" s="250"/>
      <c r="B79" s="267"/>
      <c r="C79" s="250"/>
      <c r="D79" s="268"/>
      <c r="E79" s="250"/>
      <c r="F79" s="267"/>
      <c r="G79" s="250"/>
      <c r="H79" s="269"/>
      <c r="I79" s="268"/>
      <c r="J79" s="268"/>
    </row>
    <row r="80" spans="1:13" ht="15.75" thickBot="1" x14ac:dyDescent="0.3">
      <c r="E80" s="121"/>
    </row>
    <row r="81" spans="1:11" x14ac:dyDescent="0.25">
      <c r="A81" s="95" t="s">
        <v>341</v>
      </c>
      <c r="B81" s="96" t="s">
        <v>342</v>
      </c>
      <c r="C81" s="97" t="s">
        <v>344</v>
      </c>
      <c r="D81" s="97" t="s">
        <v>343</v>
      </c>
      <c r="E81" s="97" t="s">
        <v>345</v>
      </c>
      <c r="F81" s="96" t="s">
        <v>346</v>
      </c>
      <c r="G81" s="97" t="s">
        <v>347</v>
      </c>
      <c r="H81" s="258" t="s">
        <v>348</v>
      </c>
      <c r="I81" s="227" t="s">
        <v>350</v>
      </c>
      <c r="J81" s="228" t="s">
        <v>349</v>
      </c>
    </row>
    <row r="82" spans="1:11" x14ac:dyDescent="0.25">
      <c r="A82" s="476" t="s">
        <v>738</v>
      </c>
      <c r="B82" s="272" t="s">
        <v>680</v>
      </c>
      <c r="C82" s="318" t="s">
        <v>135</v>
      </c>
      <c r="D82" s="251">
        <f>SUM(J82:J85)</f>
        <v>108.28279000000001</v>
      </c>
      <c r="E82" s="318" t="s">
        <v>132</v>
      </c>
      <c r="F82" s="272" t="s">
        <v>132</v>
      </c>
      <c r="G82" s="318" t="s">
        <v>132</v>
      </c>
      <c r="H82" s="332" t="s">
        <v>132</v>
      </c>
      <c r="I82" s="251" t="s">
        <v>132</v>
      </c>
      <c r="J82" s="333" t="s">
        <v>132</v>
      </c>
    </row>
    <row r="83" spans="1:11" ht="25.5" x14ac:dyDescent="0.25">
      <c r="A83" s="476"/>
      <c r="B83" s="272" t="s">
        <v>680</v>
      </c>
      <c r="C83" s="318" t="s">
        <v>135</v>
      </c>
      <c r="D83" s="251">
        <f>D82</f>
        <v>108.28279000000001</v>
      </c>
      <c r="E83" s="318">
        <v>3380</v>
      </c>
      <c r="F83" s="272" t="s">
        <v>679</v>
      </c>
      <c r="G83" s="318" t="s">
        <v>135</v>
      </c>
      <c r="H83" s="332" t="s">
        <v>140</v>
      </c>
      <c r="I83" s="251">
        <v>95.4</v>
      </c>
      <c r="J83" s="333">
        <f>H83*I83</f>
        <v>95.4</v>
      </c>
    </row>
    <row r="84" spans="1:11" x14ac:dyDescent="0.25">
      <c r="A84" s="476"/>
      <c r="B84" s="272" t="s">
        <v>680</v>
      </c>
      <c r="C84" s="318" t="s">
        <v>135</v>
      </c>
      <c r="D84" s="251">
        <f>D83</f>
        <v>108.28279000000001</v>
      </c>
      <c r="E84" s="318" t="s">
        <v>180</v>
      </c>
      <c r="F84" s="272" t="s">
        <v>181</v>
      </c>
      <c r="G84" s="318" t="s">
        <v>136</v>
      </c>
      <c r="H84" s="332" t="s">
        <v>195</v>
      </c>
      <c r="I84" s="251">
        <v>22.95</v>
      </c>
      <c r="J84" s="333">
        <f>H84*I84</f>
        <v>5.8086449999999994</v>
      </c>
    </row>
    <row r="85" spans="1:11" ht="15.75" thickBot="1" x14ac:dyDescent="0.3">
      <c r="A85" s="477"/>
      <c r="B85" s="334" t="s">
        <v>680</v>
      </c>
      <c r="C85" s="335" t="s">
        <v>135</v>
      </c>
      <c r="D85" s="336">
        <f>D84</f>
        <v>108.28279000000001</v>
      </c>
      <c r="E85" s="335" t="s">
        <v>183</v>
      </c>
      <c r="F85" s="334" t="s">
        <v>184</v>
      </c>
      <c r="G85" s="335" t="s">
        <v>136</v>
      </c>
      <c r="H85" s="337" t="s">
        <v>195</v>
      </c>
      <c r="I85" s="336">
        <v>27.95</v>
      </c>
      <c r="J85" s="338">
        <f>H85*I85</f>
        <v>7.0741449999999997</v>
      </c>
    </row>
    <row r="87" spans="1:11" ht="15.75" thickBot="1" x14ac:dyDescent="0.3"/>
    <row r="88" spans="1:11" x14ac:dyDescent="0.25">
      <c r="A88" s="95" t="s">
        <v>341</v>
      </c>
      <c r="B88" s="96" t="s">
        <v>342</v>
      </c>
      <c r="C88" s="97" t="s">
        <v>344</v>
      </c>
      <c r="D88" s="97" t="s">
        <v>343</v>
      </c>
      <c r="E88" s="97" t="s">
        <v>345</v>
      </c>
      <c r="F88" s="96" t="s">
        <v>346</v>
      </c>
      <c r="G88" s="97" t="s">
        <v>347</v>
      </c>
      <c r="H88" s="258" t="s">
        <v>348</v>
      </c>
      <c r="I88" s="227" t="s">
        <v>350</v>
      </c>
      <c r="J88" s="228" t="s">
        <v>349</v>
      </c>
    </row>
    <row r="89" spans="1:11" x14ac:dyDescent="0.25">
      <c r="A89" s="475" t="s">
        <v>739</v>
      </c>
      <c r="B89" s="272" t="s">
        <v>491</v>
      </c>
      <c r="C89" s="318" t="s">
        <v>135</v>
      </c>
      <c r="D89" s="251">
        <f>SUM(J90:J93)</f>
        <v>472.65415100000001</v>
      </c>
      <c r="E89" s="318" t="s">
        <v>132</v>
      </c>
      <c r="F89" s="272" t="s">
        <v>132</v>
      </c>
      <c r="G89" s="318" t="s">
        <v>132</v>
      </c>
      <c r="H89" s="332" t="s">
        <v>132</v>
      </c>
      <c r="I89" s="251" t="s">
        <v>132</v>
      </c>
      <c r="J89" s="333" t="s">
        <v>132</v>
      </c>
    </row>
    <row r="90" spans="1:11" x14ac:dyDescent="0.25">
      <c r="A90" s="476"/>
      <c r="B90" s="272" t="s">
        <v>491</v>
      </c>
      <c r="C90" s="318" t="s">
        <v>135</v>
      </c>
      <c r="D90" s="251">
        <f>D89</f>
        <v>472.65415100000001</v>
      </c>
      <c r="E90" s="318" t="s">
        <v>484</v>
      </c>
      <c r="F90" s="272" t="s">
        <v>485</v>
      </c>
      <c r="G90" s="318" t="s">
        <v>135</v>
      </c>
      <c r="H90" s="332" t="s">
        <v>486</v>
      </c>
      <c r="I90" s="251">
        <v>4.8</v>
      </c>
      <c r="J90" s="333">
        <f t="shared" ref="J90:J93" si="12">H90*I90</f>
        <v>0.1008</v>
      </c>
      <c r="K90" s="82"/>
    </row>
    <row r="91" spans="1:11" x14ac:dyDescent="0.25">
      <c r="A91" s="476"/>
      <c r="B91" s="272" t="s">
        <v>491</v>
      </c>
      <c r="C91" s="318" t="s">
        <v>135</v>
      </c>
      <c r="D91" s="251">
        <f>D90</f>
        <v>472.65415100000001</v>
      </c>
      <c r="E91" s="318" t="s">
        <v>478</v>
      </c>
      <c r="F91" s="272" t="s">
        <v>491</v>
      </c>
      <c r="G91" s="318" t="s">
        <v>135</v>
      </c>
      <c r="H91" s="332" t="s">
        <v>140</v>
      </c>
      <c r="I91" s="251">
        <v>469.31</v>
      </c>
      <c r="J91" s="333">
        <f t="shared" si="12"/>
        <v>469.31</v>
      </c>
      <c r="K91" s="82"/>
    </row>
    <row r="92" spans="1:11" x14ac:dyDescent="0.25">
      <c r="A92" s="476"/>
      <c r="B92" s="272" t="s">
        <v>491</v>
      </c>
      <c r="C92" s="318" t="s">
        <v>135</v>
      </c>
      <c r="D92" s="251">
        <f>D91</f>
        <v>472.65415100000001</v>
      </c>
      <c r="E92" s="318" t="s">
        <v>146</v>
      </c>
      <c r="F92" s="272" t="s">
        <v>147</v>
      </c>
      <c r="G92" s="318" t="s">
        <v>136</v>
      </c>
      <c r="H92" s="332" t="s">
        <v>487</v>
      </c>
      <c r="I92" s="251" t="s">
        <v>488</v>
      </c>
      <c r="J92" s="333">
        <f t="shared" si="12"/>
        <v>2.5958399999999999</v>
      </c>
      <c r="K92" s="82"/>
    </row>
    <row r="93" spans="1:11" ht="15.75" thickBot="1" x14ac:dyDescent="0.3">
      <c r="A93" s="477"/>
      <c r="B93" s="334" t="s">
        <v>491</v>
      </c>
      <c r="C93" s="335" t="s">
        <v>135</v>
      </c>
      <c r="D93" s="336">
        <f>D92</f>
        <v>472.65415100000001</v>
      </c>
      <c r="E93" s="335" t="s">
        <v>137</v>
      </c>
      <c r="F93" s="334" t="s">
        <v>138</v>
      </c>
      <c r="G93" s="335" t="s">
        <v>136</v>
      </c>
      <c r="H93" s="337" t="s">
        <v>489</v>
      </c>
      <c r="I93" s="336" t="s">
        <v>490</v>
      </c>
      <c r="J93" s="338">
        <f t="shared" si="12"/>
        <v>0.64751100000000006</v>
      </c>
      <c r="K93" s="82"/>
    </row>
    <row r="94" spans="1:11" ht="15.75" thickBot="1" x14ac:dyDescent="0.3"/>
    <row r="95" spans="1:11" x14ac:dyDescent="0.25">
      <c r="A95" s="95" t="s">
        <v>341</v>
      </c>
      <c r="B95" s="96" t="s">
        <v>342</v>
      </c>
      <c r="C95" s="97" t="s">
        <v>344</v>
      </c>
      <c r="D95" s="97" t="s">
        <v>343</v>
      </c>
      <c r="E95" s="97" t="s">
        <v>345</v>
      </c>
      <c r="F95" s="96" t="s">
        <v>346</v>
      </c>
      <c r="G95" s="97" t="s">
        <v>347</v>
      </c>
      <c r="H95" s="258" t="s">
        <v>348</v>
      </c>
      <c r="I95" s="227" t="s">
        <v>350</v>
      </c>
      <c r="J95" s="228" t="s">
        <v>349</v>
      </c>
    </row>
    <row r="96" spans="1:11" ht="25.5" x14ac:dyDescent="0.25">
      <c r="A96" s="475" t="s">
        <v>740</v>
      </c>
      <c r="B96" s="272" t="s">
        <v>494</v>
      </c>
      <c r="C96" s="318" t="s">
        <v>139</v>
      </c>
      <c r="D96" s="251">
        <f>SUM(J96:J99)</f>
        <v>19.392620000000001</v>
      </c>
      <c r="E96" s="318"/>
      <c r="F96" s="272"/>
      <c r="G96" s="318"/>
      <c r="H96" s="332"/>
      <c r="I96" s="251"/>
      <c r="J96" s="333"/>
    </row>
    <row r="97" spans="1:10" ht="25.5" x14ac:dyDescent="0.25">
      <c r="A97" s="476"/>
      <c r="B97" s="272" t="s">
        <v>494</v>
      </c>
      <c r="C97" s="318" t="s">
        <v>139</v>
      </c>
      <c r="D97" s="251">
        <f>D96</f>
        <v>19.392620000000001</v>
      </c>
      <c r="E97" s="318">
        <v>7350</v>
      </c>
      <c r="F97" s="272" t="s">
        <v>496</v>
      </c>
      <c r="G97" s="318" t="s">
        <v>26</v>
      </c>
      <c r="H97" s="332">
        <v>0.2</v>
      </c>
      <c r="I97" s="251">
        <v>38.409999999999997</v>
      </c>
      <c r="J97" s="333">
        <f t="shared" ref="J97:J99" si="13">H97*I97</f>
        <v>7.6819999999999995</v>
      </c>
    </row>
    <row r="98" spans="1:10" ht="25.5" x14ac:dyDescent="0.25">
      <c r="A98" s="476"/>
      <c r="B98" s="272" t="s">
        <v>494</v>
      </c>
      <c r="C98" s="318" t="s">
        <v>139</v>
      </c>
      <c r="D98" s="251">
        <f>D97</f>
        <v>19.392620000000001</v>
      </c>
      <c r="E98" s="318">
        <v>88310</v>
      </c>
      <c r="F98" s="272" t="s">
        <v>495</v>
      </c>
      <c r="G98" s="318" t="s">
        <v>136</v>
      </c>
      <c r="H98" s="339">
        <v>0.34399999999999997</v>
      </c>
      <c r="I98" s="251">
        <v>28.7</v>
      </c>
      <c r="J98" s="333">
        <f t="shared" si="13"/>
        <v>9.8727999999999998</v>
      </c>
    </row>
    <row r="99" spans="1:10" ht="26.25" thickBot="1" x14ac:dyDescent="0.3">
      <c r="A99" s="477"/>
      <c r="B99" s="334" t="s">
        <v>494</v>
      </c>
      <c r="C99" s="335" t="s">
        <v>139</v>
      </c>
      <c r="D99" s="336">
        <f>D98</f>
        <v>19.392620000000001</v>
      </c>
      <c r="E99" s="335">
        <v>88316</v>
      </c>
      <c r="F99" s="334" t="s">
        <v>138</v>
      </c>
      <c r="G99" s="335" t="s">
        <v>136</v>
      </c>
      <c r="H99" s="355">
        <v>8.5999999999999993E-2</v>
      </c>
      <c r="I99" s="336">
        <v>21.37</v>
      </c>
      <c r="J99" s="338">
        <f t="shared" si="13"/>
        <v>1.83782</v>
      </c>
    </row>
    <row r="101" spans="1:10" ht="15.75" thickBot="1" x14ac:dyDescent="0.3"/>
    <row r="102" spans="1:10" x14ac:dyDescent="0.25">
      <c r="A102" s="261" t="s">
        <v>341</v>
      </c>
      <c r="B102" s="262" t="s">
        <v>342</v>
      </c>
      <c r="C102" s="263" t="s">
        <v>344</v>
      </c>
      <c r="D102" s="263" t="s">
        <v>343</v>
      </c>
      <c r="E102" s="263" t="s">
        <v>345</v>
      </c>
      <c r="F102" s="262" t="s">
        <v>346</v>
      </c>
      <c r="G102" s="263" t="s">
        <v>347</v>
      </c>
      <c r="H102" s="264" t="s">
        <v>348</v>
      </c>
      <c r="I102" s="265" t="s">
        <v>350</v>
      </c>
      <c r="J102" s="266" t="s">
        <v>349</v>
      </c>
    </row>
    <row r="103" spans="1:10" ht="25.5" x14ac:dyDescent="0.25">
      <c r="A103" s="484" t="s">
        <v>751</v>
      </c>
      <c r="B103" s="284" t="s">
        <v>763</v>
      </c>
      <c r="C103" s="318" t="s">
        <v>133</v>
      </c>
      <c r="D103" s="251">
        <f t="shared" ref="D103:D108" si="14">SUM($J$104:$J$108)</f>
        <v>119.344476</v>
      </c>
      <c r="E103" s="318" t="s">
        <v>132</v>
      </c>
      <c r="F103" s="272" t="s">
        <v>132</v>
      </c>
      <c r="G103" s="318" t="s">
        <v>132</v>
      </c>
      <c r="H103" s="332" t="s">
        <v>132</v>
      </c>
      <c r="I103" s="251" t="s">
        <v>132</v>
      </c>
      <c r="J103" s="333" t="s">
        <v>132</v>
      </c>
    </row>
    <row r="104" spans="1:10" ht="25.5" x14ac:dyDescent="0.25">
      <c r="A104" s="484"/>
      <c r="B104" s="284" t="s">
        <v>763</v>
      </c>
      <c r="C104" s="318" t="s">
        <v>133</v>
      </c>
      <c r="D104" s="251">
        <f t="shared" si="14"/>
        <v>119.344476</v>
      </c>
      <c r="E104" s="318" t="s">
        <v>693</v>
      </c>
      <c r="F104" s="272" t="s">
        <v>762</v>
      </c>
      <c r="G104" s="318" t="s">
        <v>133</v>
      </c>
      <c r="H104" s="332" t="s">
        <v>193</v>
      </c>
      <c r="I104" s="251">
        <v>93.98</v>
      </c>
      <c r="J104" s="333">
        <f>H104*I104</f>
        <v>98.679000000000002</v>
      </c>
    </row>
    <row r="105" spans="1:10" ht="25.5" x14ac:dyDescent="0.25">
      <c r="A105" s="484"/>
      <c r="B105" s="284" t="s">
        <v>763</v>
      </c>
      <c r="C105" s="318" t="s">
        <v>133</v>
      </c>
      <c r="D105" s="251">
        <f t="shared" si="14"/>
        <v>119.344476</v>
      </c>
      <c r="E105" s="318" t="s">
        <v>180</v>
      </c>
      <c r="F105" s="272" t="s">
        <v>181</v>
      </c>
      <c r="G105" s="318" t="s">
        <v>136</v>
      </c>
      <c r="H105" s="332">
        <v>0.247</v>
      </c>
      <c r="I105" s="251">
        <v>22.95</v>
      </c>
      <c r="J105" s="333">
        <f>H105*I105</f>
        <v>5.6686499999999995</v>
      </c>
    </row>
    <row r="106" spans="1:10" ht="25.5" x14ac:dyDescent="0.25">
      <c r="A106" s="484"/>
      <c r="B106" s="284" t="s">
        <v>763</v>
      </c>
      <c r="C106" s="318" t="s">
        <v>133</v>
      </c>
      <c r="D106" s="251">
        <f t="shared" si="14"/>
        <v>119.344476</v>
      </c>
      <c r="E106" s="318" t="s">
        <v>183</v>
      </c>
      <c r="F106" s="272" t="s">
        <v>184</v>
      </c>
      <c r="G106" s="318" t="s">
        <v>136</v>
      </c>
      <c r="H106" s="332">
        <v>0.247</v>
      </c>
      <c r="I106" s="251">
        <v>27.95</v>
      </c>
      <c r="J106" s="333">
        <f>H106*I106</f>
        <v>6.9036499999999998</v>
      </c>
    </row>
    <row r="107" spans="1:10" ht="38.25" x14ac:dyDescent="0.25">
      <c r="A107" s="484"/>
      <c r="B107" s="284" t="s">
        <v>763</v>
      </c>
      <c r="C107" s="318" t="s">
        <v>133</v>
      </c>
      <c r="D107" s="251">
        <f t="shared" si="14"/>
        <v>119.344476</v>
      </c>
      <c r="E107" s="318">
        <v>91174</v>
      </c>
      <c r="F107" s="272" t="s">
        <v>677</v>
      </c>
      <c r="G107" s="318" t="s">
        <v>133</v>
      </c>
      <c r="H107" s="332" t="s">
        <v>150</v>
      </c>
      <c r="I107" s="251">
        <v>3.26</v>
      </c>
      <c r="J107" s="333">
        <f>H107*I107</f>
        <v>6.52</v>
      </c>
    </row>
    <row r="108" spans="1:10" ht="26.25" thickBot="1" x14ac:dyDescent="0.3">
      <c r="A108" s="485"/>
      <c r="B108" s="284" t="s">
        <v>763</v>
      </c>
      <c r="C108" s="335" t="s">
        <v>133</v>
      </c>
      <c r="D108" s="336">
        <f t="shared" si="14"/>
        <v>119.344476</v>
      </c>
      <c r="E108" s="335">
        <v>2639</v>
      </c>
      <c r="F108" s="356" t="s">
        <v>692</v>
      </c>
      <c r="G108" s="335" t="s">
        <v>135</v>
      </c>
      <c r="H108" s="337" t="s">
        <v>194</v>
      </c>
      <c r="I108" s="336">
        <v>4.72</v>
      </c>
      <c r="J108" s="338">
        <f>H108*I108</f>
        <v>1.5731759999999999</v>
      </c>
    </row>
    <row r="109" spans="1:10" ht="15.75" thickBot="1" x14ac:dyDescent="0.3"/>
    <row r="110" spans="1:10" x14ac:dyDescent="0.25">
      <c r="A110" s="95" t="s">
        <v>341</v>
      </c>
      <c r="B110" s="96" t="s">
        <v>342</v>
      </c>
      <c r="C110" s="97" t="s">
        <v>344</v>
      </c>
      <c r="D110" s="97" t="s">
        <v>343</v>
      </c>
      <c r="E110" s="97" t="s">
        <v>345</v>
      </c>
      <c r="F110" s="96" t="s">
        <v>346</v>
      </c>
      <c r="G110" s="97" t="s">
        <v>347</v>
      </c>
      <c r="H110" s="258" t="s">
        <v>348</v>
      </c>
      <c r="I110" s="227" t="s">
        <v>350</v>
      </c>
      <c r="J110" s="228" t="s">
        <v>349</v>
      </c>
    </row>
    <row r="111" spans="1:10" x14ac:dyDescent="0.25">
      <c r="A111" s="475" t="s">
        <v>681</v>
      </c>
      <c r="B111" s="272" t="s">
        <v>587</v>
      </c>
      <c r="C111" s="318" t="s">
        <v>135</v>
      </c>
      <c r="D111" s="251">
        <f>SUM(J111:J114)</f>
        <v>246.27163199999998</v>
      </c>
      <c r="E111" s="318"/>
      <c r="F111" s="272"/>
      <c r="G111" s="318"/>
      <c r="H111" s="332"/>
      <c r="I111" s="251"/>
      <c r="J111" s="333"/>
    </row>
    <row r="112" spans="1:10" x14ac:dyDescent="0.25">
      <c r="A112" s="476"/>
      <c r="B112" s="272" t="s">
        <v>587</v>
      </c>
      <c r="C112" s="318" t="s">
        <v>135</v>
      </c>
      <c r="D112" s="251">
        <f>D111</f>
        <v>246.27163199999998</v>
      </c>
      <c r="E112" s="318" t="s">
        <v>589</v>
      </c>
      <c r="F112" s="272" t="s">
        <v>588</v>
      </c>
      <c r="G112" s="318" t="s">
        <v>135</v>
      </c>
      <c r="H112" s="332">
        <v>1</v>
      </c>
      <c r="I112" s="251">
        <v>241.1</v>
      </c>
      <c r="J112" s="333">
        <f t="shared" ref="J112:J114" si="15">H112*I112</f>
        <v>241.1</v>
      </c>
    </row>
    <row r="113" spans="1:10" x14ac:dyDescent="0.25">
      <c r="A113" s="476"/>
      <c r="B113" s="272" t="s">
        <v>587</v>
      </c>
      <c r="C113" s="318" t="s">
        <v>135</v>
      </c>
      <c r="D113" s="251">
        <f>D112</f>
        <v>246.27163199999998</v>
      </c>
      <c r="E113" s="318">
        <v>88248</v>
      </c>
      <c r="F113" s="272" t="s">
        <v>152</v>
      </c>
      <c r="G113" s="318" t="s">
        <v>136</v>
      </c>
      <c r="H113" s="339">
        <v>0.1052</v>
      </c>
      <c r="I113" s="251">
        <v>22.12</v>
      </c>
      <c r="J113" s="333">
        <f t="shared" si="15"/>
        <v>2.3270240000000002</v>
      </c>
    </row>
    <row r="114" spans="1:10" ht="15.75" thickBot="1" x14ac:dyDescent="0.3">
      <c r="A114" s="477"/>
      <c r="B114" s="334" t="s">
        <v>587</v>
      </c>
      <c r="C114" s="335" t="s">
        <v>135</v>
      </c>
      <c r="D114" s="336">
        <f>D113</f>
        <v>246.27163199999998</v>
      </c>
      <c r="E114" s="335">
        <v>88267</v>
      </c>
      <c r="F114" s="334" t="s">
        <v>147</v>
      </c>
      <c r="G114" s="335" t="s">
        <v>136</v>
      </c>
      <c r="H114" s="355">
        <v>0.1052</v>
      </c>
      <c r="I114" s="336">
        <v>27.04</v>
      </c>
      <c r="J114" s="338">
        <f t="shared" si="15"/>
        <v>2.844608</v>
      </c>
    </row>
    <row r="115" spans="1:10" ht="15.75" thickBot="1" x14ac:dyDescent="0.3"/>
    <row r="116" spans="1:10" x14ac:dyDescent="0.25">
      <c r="A116" s="95" t="s">
        <v>341</v>
      </c>
      <c r="B116" s="96" t="s">
        <v>342</v>
      </c>
      <c r="C116" s="97" t="s">
        <v>344</v>
      </c>
      <c r="D116" s="97" t="s">
        <v>343</v>
      </c>
      <c r="E116" s="97" t="s">
        <v>345</v>
      </c>
      <c r="F116" s="96" t="s">
        <v>346</v>
      </c>
      <c r="G116" s="97" t="s">
        <v>347</v>
      </c>
      <c r="H116" s="258" t="s">
        <v>348</v>
      </c>
      <c r="I116" s="227" t="s">
        <v>350</v>
      </c>
      <c r="J116" s="228" t="s">
        <v>349</v>
      </c>
    </row>
    <row r="117" spans="1:10" ht="25.5" x14ac:dyDescent="0.25">
      <c r="A117" s="486" t="s">
        <v>742</v>
      </c>
      <c r="B117" s="272" t="s">
        <v>634</v>
      </c>
      <c r="C117" s="318" t="s">
        <v>135</v>
      </c>
      <c r="D117" s="251">
        <f>SUM(J117:J129)</f>
        <v>1352.2194750000001</v>
      </c>
      <c r="E117" s="318"/>
      <c r="F117" s="272"/>
      <c r="G117" s="318"/>
      <c r="H117" s="332"/>
      <c r="I117" s="251"/>
      <c r="J117" s="333"/>
    </row>
    <row r="118" spans="1:10" ht="25.5" x14ac:dyDescent="0.25">
      <c r="A118" s="487"/>
      <c r="B118" s="272" t="s">
        <v>634</v>
      </c>
      <c r="C118" s="318" t="s">
        <v>135</v>
      </c>
      <c r="D118" s="251">
        <f>D117</f>
        <v>1352.2194750000001</v>
      </c>
      <c r="E118" s="318" t="s">
        <v>635</v>
      </c>
      <c r="F118" s="272" t="s">
        <v>636</v>
      </c>
      <c r="G118" s="318" t="s">
        <v>135</v>
      </c>
      <c r="H118" s="332">
        <v>1</v>
      </c>
      <c r="I118" s="251">
        <v>28.74</v>
      </c>
      <c r="J118" s="357">
        <f t="shared" ref="J118:J129" si="16">H118*I118</f>
        <v>28.74</v>
      </c>
    </row>
    <row r="119" spans="1:10" ht="25.5" x14ac:dyDescent="0.25">
      <c r="A119" s="487"/>
      <c r="B119" s="272" t="s">
        <v>634</v>
      </c>
      <c r="C119" s="318" t="s">
        <v>135</v>
      </c>
      <c r="D119" s="251">
        <f t="shared" ref="D119:D129" si="17">D118</f>
        <v>1352.2194750000001</v>
      </c>
      <c r="E119" s="272" t="s">
        <v>637</v>
      </c>
      <c r="F119" s="272" t="s">
        <v>638</v>
      </c>
      <c r="G119" s="272" t="s">
        <v>135</v>
      </c>
      <c r="H119" s="332">
        <v>4</v>
      </c>
      <c r="I119" s="358">
        <v>0.24</v>
      </c>
      <c r="J119" s="357">
        <f t="shared" si="16"/>
        <v>0.96</v>
      </c>
    </row>
    <row r="120" spans="1:10" ht="25.5" x14ac:dyDescent="0.25">
      <c r="A120" s="487"/>
      <c r="B120" s="272" t="s">
        <v>634</v>
      </c>
      <c r="C120" s="318" t="s">
        <v>135</v>
      </c>
      <c r="D120" s="251">
        <f t="shared" si="17"/>
        <v>1352.2194750000001</v>
      </c>
      <c r="E120" s="318" t="s">
        <v>639</v>
      </c>
      <c r="F120" s="272" t="s">
        <v>640</v>
      </c>
      <c r="G120" s="318" t="s">
        <v>135</v>
      </c>
      <c r="H120" s="332">
        <v>1</v>
      </c>
      <c r="I120" s="251">
        <v>35.869999999999997</v>
      </c>
      <c r="J120" s="357">
        <f t="shared" si="16"/>
        <v>35.869999999999997</v>
      </c>
    </row>
    <row r="121" spans="1:10" ht="25.5" x14ac:dyDescent="0.25">
      <c r="A121" s="487"/>
      <c r="B121" s="272" t="s">
        <v>634</v>
      </c>
      <c r="C121" s="318" t="s">
        <v>135</v>
      </c>
      <c r="D121" s="251">
        <f t="shared" si="17"/>
        <v>1352.2194750000001</v>
      </c>
      <c r="E121" s="318" t="s">
        <v>641</v>
      </c>
      <c r="F121" s="272" t="s">
        <v>642</v>
      </c>
      <c r="G121" s="318" t="s">
        <v>135</v>
      </c>
      <c r="H121" s="332">
        <v>1</v>
      </c>
      <c r="I121" s="251">
        <v>217.03</v>
      </c>
      <c r="J121" s="357">
        <f t="shared" si="16"/>
        <v>217.03</v>
      </c>
    </row>
    <row r="122" spans="1:10" ht="25.5" x14ac:dyDescent="0.25">
      <c r="A122" s="487"/>
      <c r="B122" s="272" t="s">
        <v>634</v>
      </c>
      <c r="C122" s="318" t="s">
        <v>135</v>
      </c>
      <c r="D122" s="251">
        <f t="shared" si="17"/>
        <v>1352.2194750000001</v>
      </c>
      <c r="E122" s="318" t="s">
        <v>180</v>
      </c>
      <c r="F122" s="272" t="s">
        <v>181</v>
      </c>
      <c r="G122" s="318" t="s">
        <v>136</v>
      </c>
      <c r="H122" s="332">
        <v>0.215</v>
      </c>
      <c r="I122" s="358" t="s">
        <v>652</v>
      </c>
      <c r="J122" s="357">
        <f t="shared" si="16"/>
        <v>4.9342499999999996</v>
      </c>
    </row>
    <row r="123" spans="1:10" ht="26.25" thickBot="1" x14ac:dyDescent="0.3">
      <c r="A123" s="487"/>
      <c r="B123" s="272" t="s">
        <v>634</v>
      </c>
      <c r="C123" s="318" t="s">
        <v>135</v>
      </c>
      <c r="D123" s="251">
        <f t="shared" si="17"/>
        <v>1352.2194750000001</v>
      </c>
      <c r="E123" s="272" t="s">
        <v>183</v>
      </c>
      <c r="F123" s="272" t="s">
        <v>184</v>
      </c>
      <c r="G123" s="272" t="s">
        <v>136</v>
      </c>
      <c r="H123" s="332">
        <v>1.9355</v>
      </c>
      <c r="I123" s="251" t="s">
        <v>651</v>
      </c>
      <c r="J123" s="357">
        <f t="shared" si="16"/>
        <v>54.097225000000002</v>
      </c>
    </row>
    <row r="124" spans="1:10" ht="25.5" x14ac:dyDescent="0.25">
      <c r="A124" s="487"/>
      <c r="B124" s="272" t="s">
        <v>634</v>
      </c>
      <c r="C124" s="318" t="s">
        <v>135</v>
      </c>
      <c r="D124" s="251">
        <f t="shared" si="17"/>
        <v>1352.2194750000001</v>
      </c>
      <c r="E124" s="318" t="s">
        <v>643</v>
      </c>
      <c r="F124" s="272" t="s">
        <v>625</v>
      </c>
      <c r="G124" s="318" t="s">
        <v>133</v>
      </c>
      <c r="H124" s="332">
        <v>1.3</v>
      </c>
      <c r="I124" s="251">
        <v>19.8</v>
      </c>
      <c r="J124" s="357">
        <f t="shared" si="16"/>
        <v>25.740000000000002</v>
      </c>
    </row>
    <row r="125" spans="1:10" ht="25.5" x14ac:dyDescent="0.25">
      <c r="A125" s="487"/>
      <c r="B125" s="272" t="s">
        <v>634</v>
      </c>
      <c r="C125" s="318" t="s">
        <v>135</v>
      </c>
      <c r="D125" s="251">
        <f t="shared" si="17"/>
        <v>1352.2194750000001</v>
      </c>
      <c r="E125" s="318" t="s">
        <v>644</v>
      </c>
      <c r="F125" s="272" t="s">
        <v>645</v>
      </c>
      <c r="G125" s="318" t="s">
        <v>133</v>
      </c>
      <c r="H125" s="332">
        <v>19.8</v>
      </c>
      <c r="I125" s="358">
        <v>26.75</v>
      </c>
      <c r="J125" s="357">
        <f t="shared" si="16"/>
        <v>529.65</v>
      </c>
    </row>
    <row r="126" spans="1:10" ht="25.5" x14ac:dyDescent="0.25">
      <c r="A126" s="487"/>
      <c r="B126" s="272" t="s">
        <v>634</v>
      </c>
      <c r="C126" s="318" t="s">
        <v>135</v>
      </c>
      <c r="D126" s="251">
        <f t="shared" si="17"/>
        <v>1352.2194750000001</v>
      </c>
      <c r="E126" s="318" t="s">
        <v>743</v>
      </c>
      <c r="F126" s="272" t="s">
        <v>653</v>
      </c>
      <c r="G126" s="318" t="s">
        <v>135</v>
      </c>
      <c r="H126" s="332">
        <v>1</v>
      </c>
      <c r="I126" s="251">
        <v>111.46</v>
      </c>
      <c r="J126" s="357">
        <f t="shared" si="16"/>
        <v>111.46</v>
      </c>
    </row>
    <row r="127" spans="1:10" ht="25.5" x14ac:dyDescent="0.25">
      <c r="A127" s="487"/>
      <c r="B127" s="272" t="s">
        <v>634</v>
      </c>
      <c r="C127" s="318" t="s">
        <v>135</v>
      </c>
      <c r="D127" s="251">
        <f t="shared" si="17"/>
        <v>1352.2194750000001</v>
      </c>
      <c r="E127" s="272" t="s">
        <v>646</v>
      </c>
      <c r="F127" s="272" t="s">
        <v>624</v>
      </c>
      <c r="G127" s="272" t="s">
        <v>133</v>
      </c>
      <c r="H127" s="332">
        <v>1.95</v>
      </c>
      <c r="I127" s="251">
        <v>57.98</v>
      </c>
      <c r="J127" s="357">
        <f t="shared" si="16"/>
        <v>113.06099999999999</v>
      </c>
    </row>
    <row r="128" spans="1:10" ht="25.5" x14ac:dyDescent="0.25">
      <c r="A128" s="487"/>
      <c r="B128" s="272" t="s">
        <v>634</v>
      </c>
      <c r="C128" s="318" t="s">
        <v>135</v>
      </c>
      <c r="D128" s="251">
        <f t="shared" si="17"/>
        <v>1352.2194750000001</v>
      </c>
      <c r="E128" s="318" t="s">
        <v>647</v>
      </c>
      <c r="F128" s="272" t="s">
        <v>648</v>
      </c>
      <c r="G128" s="318" t="s">
        <v>135</v>
      </c>
      <c r="H128" s="332">
        <v>1</v>
      </c>
      <c r="I128" s="358">
        <v>156.4</v>
      </c>
      <c r="J128" s="357">
        <f t="shared" si="16"/>
        <v>156.4</v>
      </c>
    </row>
    <row r="129" spans="1:10" ht="26.25" thickBot="1" x14ac:dyDescent="0.3">
      <c r="A129" s="488"/>
      <c r="B129" s="334" t="s">
        <v>634</v>
      </c>
      <c r="C129" s="335" t="s">
        <v>135</v>
      </c>
      <c r="D129" s="336">
        <f t="shared" si="17"/>
        <v>1352.2194750000001</v>
      </c>
      <c r="E129" s="335" t="s">
        <v>649</v>
      </c>
      <c r="F129" s="334" t="s">
        <v>650</v>
      </c>
      <c r="G129" s="335" t="s">
        <v>133</v>
      </c>
      <c r="H129" s="355">
        <v>6.3</v>
      </c>
      <c r="I129" s="336">
        <v>11.79</v>
      </c>
      <c r="J129" s="359">
        <f t="shared" si="16"/>
        <v>74.276999999999987</v>
      </c>
    </row>
    <row r="130" spans="1:10" ht="15.75" thickBot="1" x14ac:dyDescent="0.3"/>
    <row r="131" spans="1:10" x14ac:dyDescent="0.25">
      <c r="A131" s="95" t="s">
        <v>341</v>
      </c>
      <c r="B131" s="96" t="s">
        <v>342</v>
      </c>
      <c r="C131" s="97" t="s">
        <v>344</v>
      </c>
      <c r="D131" s="97" t="s">
        <v>343</v>
      </c>
      <c r="E131" s="97" t="s">
        <v>345</v>
      </c>
      <c r="F131" s="96" t="s">
        <v>346</v>
      </c>
      <c r="G131" s="97" t="s">
        <v>347</v>
      </c>
      <c r="H131" s="258" t="s">
        <v>348</v>
      </c>
      <c r="I131" s="227" t="s">
        <v>350</v>
      </c>
      <c r="J131" s="228" t="s">
        <v>349</v>
      </c>
    </row>
    <row r="132" spans="1:10" ht="25.5" x14ac:dyDescent="0.25">
      <c r="A132" s="475" t="s">
        <v>743</v>
      </c>
      <c r="B132" s="272" t="s">
        <v>653</v>
      </c>
      <c r="C132" s="318" t="s">
        <v>135</v>
      </c>
      <c r="D132" s="251">
        <f>SUM(J132:J136)</f>
        <v>111.56056000000001</v>
      </c>
      <c r="E132" s="318"/>
      <c r="F132" s="272"/>
      <c r="G132" s="318"/>
      <c r="H132" s="332"/>
      <c r="I132" s="251"/>
      <c r="J132" s="333"/>
    </row>
    <row r="133" spans="1:10" ht="25.5" x14ac:dyDescent="0.25">
      <c r="A133" s="476"/>
      <c r="B133" s="272" t="s">
        <v>653</v>
      </c>
      <c r="C133" s="318" t="s">
        <v>135</v>
      </c>
      <c r="D133" s="251">
        <f>D132</f>
        <v>111.56056000000001</v>
      </c>
      <c r="E133" s="318">
        <v>1575</v>
      </c>
      <c r="F133" s="272" t="s">
        <v>654</v>
      </c>
      <c r="G133" s="318" t="s">
        <v>135</v>
      </c>
      <c r="H133" s="332">
        <v>2</v>
      </c>
      <c r="I133" s="251">
        <v>1.77</v>
      </c>
      <c r="J133" s="333">
        <f t="shared" ref="J133:J135" si="18">H133*I133</f>
        <v>3.54</v>
      </c>
    </row>
    <row r="134" spans="1:10" ht="25.5" x14ac:dyDescent="0.25">
      <c r="A134" s="476"/>
      <c r="B134" s="272" t="s">
        <v>653</v>
      </c>
      <c r="C134" s="318" t="s">
        <v>135</v>
      </c>
      <c r="D134" s="251">
        <f>D133</f>
        <v>111.56056000000001</v>
      </c>
      <c r="E134" s="318">
        <v>34628</v>
      </c>
      <c r="F134" s="272" t="s">
        <v>655</v>
      </c>
      <c r="G134" s="318" t="s">
        <v>135</v>
      </c>
      <c r="H134" s="332">
        <v>1</v>
      </c>
      <c r="I134" s="251">
        <v>88.76</v>
      </c>
      <c r="J134" s="333">
        <f t="shared" si="18"/>
        <v>88.76</v>
      </c>
    </row>
    <row r="135" spans="1:10" ht="25.5" x14ac:dyDescent="0.25">
      <c r="A135" s="476"/>
      <c r="B135" s="272" t="s">
        <v>653</v>
      </c>
      <c r="C135" s="318" t="s">
        <v>135</v>
      </c>
      <c r="D135" s="251">
        <f>D134</f>
        <v>111.56056000000001</v>
      </c>
      <c r="E135" s="318">
        <v>88247</v>
      </c>
      <c r="F135" s="272" t="s">
        <v>181</v>
      </c>
      <c r="G135" s="318" t="s">
        <v>136</v>
      </c>
      <c r="H135" s="332">
        <v>0.37840000000000001</v>
      </c>
      <c r="I135" s="251">
        <v>22.95</v>
      </c>
      <c r="J135" s="333">
        <f t="shared" si="18"/>
        <v>8.6842799999999993</v>
      </c>
    </row>
    <row r="136" spans="1:10" ht="26.25" thickBot="1" x14ac:dyDescent="0.3">
      <c r="A136" s="477"/>
      <c r="B136" s="334" t="s">
        <v>653</v>
      </c>
      <c r="C136" s="335" t="s">
        <v>135</v>
      </c>
      <c r="D136" s="336">
        <f>D135</f>
        <v>111.56056000000001</v>
      </c>
      <c r="E136" s="335">
        <v>88264</v>
      </c>
      <c r="F136" s="334" t="s">
        <v>184</v>
      </c>
      <c r="G136" s="335" t="s">
        <v>136</v>
      </c>
      <c r="H136" s="337">
        <v>0.37840000000000001</v>
      </c>
      <c r="I136" s="336">
        <v>27.95</v>
      </c>
      <c r="J136" s="338">
        <f t="shared" ref="J136" si="19">H136*I136</f>
        <v>10.576280000000001</v>
      </c>
    </row>
    <row r="138" spans="1:10" ht="15.75" thickBot="1" x14ac:dyDescent="0.3"/>
    <row r="139" spans="1:10" x14ac:dyDescent="0.25">
      <c r="A139" s="95" t="s">
        <v>341</v>
      </c>
      <c r="B139" s="96" t="s">
        <v>342</v>
      </c>
      <c r="C139" s="97" t="s">
        <v>344</v>
      </c>
      <c r="D139" s="97" t="s">
        <v>343</v>
      </c>
      <c r="E139" s="97" t="s">
        <v>345</v>
      </c>
      <c r="F139" s="96" t="s">
        <v>346</v>
      </c>
      <c r="G139" s="97" t="s">
        <v>347</v>
      </c>
      <c r="H139" s="258" t="s">
        <v>348</v>
      </c>
      <c r="I139" s="227" t="s">
        <v>350</v>
      </c>
      <c r="J139" s="228" t="s">
        <v>349</v>
      </c>
    </row>
    <row r="140" spans="1:10" ht="38.25" x14ac:dyDescent="0.25">
      <c r="A140" s="475" t="s">
        <v>774</v>
      </c>
      <c r="B140" s="272" t="s">
        <v>672</v>
      </c>
      <c r="C140" s="318" t="s">
        <v>133</v>
      </c>
      <c r="D140" s="251">
        <f>SUM(J140:J143)</f>
        <v>6.9514800000000001</v>
      </c>
      <c r="E140" s="318"/>
      <c r="F140" s="272"/>
      <c r="G140" s="318"/>
      <c r="H140" s="332"/>
      <c r="I140" s="251"/>
      <c r="J140" s="333"/>
    </row>
    <row r="141" spans="1:10" ht="38.25" x14ac:dyDescent="0.25">
      <c r="A141" s="476"/>
      <c r="B141" s="272" t="s">
        <v>672</v>
      </c>
      <c r="C141" s="318" t="s">
        <v>133</v>
      </c>
      <c r="D141" s="251">
        <f>D140</f>
        <v>6.9514800000000001</v>
      </c>
      <c r="E141" s="318" t="s">
        <v>663</v>
      </c>
      <c r="F141" s="272" t="s">
        <v>659</v>
      </c>
      <c r="G141" s="318" t="s">
        <v>135</v>
      </c>
      <c r="H141" s="332">
        <v>1.1000000000000001</v>
      </c>
      <c r="I141" s="251">
        <v>3.21</v>
      </c>
      <c r="J141" s="333">
        <f t="shared" ref="J141:J143" si="20">H141*I141</f>
        <v>3.5310000000000001</v>
      </c>
    </row>
    <row r="142" spans="1:10" ht="38.25" x14ac:dyDescent="0.25">
      <c r="A142" s="476"/>
      <c r="B142" s="272" t="s">
        <v>672</v>
      </c>
      <c r="C142" s="318" t="s">
        <v>133</v>
      </c>
      <c r="D142" s="251">
        <f>D141</f>
        <v>6.9514800000000001</v>
      </c>
      <c r="E142" s="318">
        <v>88247</v>
      </c>
      <c r="F142" s="272" t="s">
        <v>181</v>
      </c>
      <c r="G142" s="318" t="s">
        <v>136</v>
      </c>
      <c r="H142" s="332">
        <v>6.7199999999999996E-2</v>
      </c>
      <c r="I142" s="251">
        <v>22.95</v>
      </c>
      <c r="J142" s="333">
        <f t="shared" si="20"/>
        <v>1.5422399999999998</v>
      </c>
    </row>
    <row r="143" spans="1:10" ht="39" thickBot="1" x14ac:dyDescent="0.3">
      <c r="A143" s="477"/>
      <c r="B143" s="334" t="s">
        <v>672</v>
      </c>
      <c r="C143" s="335" t="s">
        <v>133</v>
      </c>
      <c r="D143" s="336">
        <f>D142</f>
        <v>6.9514800000000001</v>
      </c>
      <c r="E143" s="335">
        <v>88264</v>
      </c>
      <c r="F143" s="334" t="s">
        <v>184</v>
      </c>
      <c r="G143" s="335" t="s">
        <v>136</v>
      </c>
      <c r="H143" s="337">
        <v>6.7199999999999996E-2</v>
      </c>
      <c r="I143" s="336">
        <v>27.95</v>
      </c>
      <c r="J143" s="338">
        <f t="shared" si="20"/>
        <v>1.8782399999999999</v>
      </c>
    </row>
    <row r="144" spans="1:10" ht="15.75" thickBot="1" x14ac:dyDescent="0.3"/>
    <row r="145" spans="1:10" x14ac:dyDescent="0.25">
      <c r="A145" s="95" t="s">
        <v>341</v>
      </c>
      <c r="B145" s="96" t="s">
        <v>342</v>
      </c>
      <c r="C145" s="97" t="s">
        <v>344</v>
      </c>
      <c r="D145" s="97" t="s">
        <v>343</v>
      </c>
      <c r="E145" s="97" t="s">
        <v>345</v>
      </c>
      <c r="F145" s="96" t="s">
        <v>346</v>
      </c>
      <c r="G145" s="97" t="s">
        <v>347</v>
      </c>
      <c r="H145" s="258" t="s">
        <v>348</v>
      </c>
      <c r="I145" s="227" t="s">
        <v>350</v>
      </c>
      <c r="J145" s="228" t="s">
        <v>349</v>
      </c>
    </row>
    <row r="146" spans="1:10" ht="38.25" x14ac:dyDescent="0.25">
      <c r="A146" s="475" t="s">
        <v>773</v>
      </c>
      <c r="B146" s="272" t="s">
        <v>673</v>
      </c>
      <c r="C146" s="318" t="s">
        <v>133</v>
      </c>
      <c r="D146" s="251">
        <f>SUM(J146:J149)</f>
        <v>6.2254800000000001</v>
      </c>
      <c r="E146" s="318"/>
      <c r="F146" s="272"/>
      <c r="G146" s="318"/>
      <c r="H146" s="332"/>
      <c r="I146" s="251"/>
      <c r="J146" s="333"/>
    </row>
    <row r="147" spans="1:10" ht="38.25" x14ac:dyDescent="0.25">
      <c r="A147" s="476"/>
      <c r="B147" s="272" t="s">
        <v>673</v>
      </c>
      <c r="C147" s="318" t="s">
        <v>133</v>
      </c>
      <c r="D147" s="251">
        <f>D146</f>
        <v>6.2254800000000001</v>
      </c>
      <c r="E147" s="318" t="s">
        <v>661</v>
      </c>
      <c r="F147" s="272" t="s">
        <v>660</v>
      </c>
      <c r="G147" s="318" t="s">
        <v>135</v>
      </c>
      <c r="H147" s="332">
        <v>1.1000000000000001</v>
      </c>
      <c r="I147" s="251">
        <v>2.5499999999999998</v>
      </c>
      <c r="J147" s="333">
        <f t="shared" ref="J147:J149" si="21">H147*I147</f>
        <v>2.8050000000000002</v>
      </c>
    </row>
    <row r="148" spans="1:10" ht="38.25" x14ac:dyDescent="0.25">
      <c r="A148" s="476"/>
      <c r="B148" s="272" t="s">
        <v>673</v>
      </c>
      <c r="C148" s="318" t="s">
        <v>133</v>
      </c>
      <c r="D148" s="251">
        <f>D147</f>
        <v>6.2254800000000001</v>
      </c>
      <c r="E148" s="318">
        <v>88247</v>
      </c>
      <c r="F148" s="272" t="s">
        <v>181</v>
      </c>
      <c r="G148" s="318" t="s">
        <v>136</v>
      </c>
      <c r="H148" s="332">
        <v>6.7199999999999996E-2</v>
      </c>
      <c r="I148" s="251">
        <v>22.95</v>
      </c>
      <c r="J148" s="333">
        <f t="shared" si="21"/>
        <v>1.5422399999999998</v>
      </c>
    </row>
    <row r="149" spans="1:10" ht="39" thickBot="1" x14ac:dyDescent="0.3">
      <c r="A149" s="477"/>
      <c r="B149" s="334" t="s">
        <v>673</v>
      </c>
      <c r="C149" s="335" t="s">
        <v>133</v>
      </c>
      <c r="D149" s="336">
        <f>D148</f>
        <v>6.2254800000000001</v>
      </c>
      <c r="E149" s="335">
        <v>88264</v>
      </c>
      <c r="F149" s="334" t="s">
        <v>184</v>
      </c>
      <c r="G149" s="335" t="s">
        <v>136</v>
      </c>
      <c r="H149" s="337">
        <v>6.7199999999999996E-2</v>
      </c>
      <c r="I149" s="336">
        <v>27.95</v>
      </c>
      <c r="J149" s="338">
        <f t="shared" si="21"/>
        <v>1.8782399999999999</v>
      </c>
    </row>
    <row r="150" spans="1:10" ht="15.75" thickBot="1" x14ac:dyDescent="0.3"/>
    <row r="151" spans="1:10" x14ac:dyDescent="0.25">
      <c r="A151" s="95" t="s">
        <v>341</v>
      </c>
      <c r="B151" s="96" t="s">
        <v>342</v>
      </c>
      <c r="C151" s="97" t="s">
        <v>344</v>
      </c>
      <c r="D151" s="97" t="s">
        <v>343</v>
      </c>
      <c r="E151" s="97" t="s">
        <v>345</v>
      </c>
      <c r="F151" s="96" t="s">
        <v>346</v>
      </c>
      <c r="G151" s="97" t="s">
        <v>347</v>
      </c>
      <c r="H151" s="258" t="s">
        <v>348</v>
      </c>
      <c r="I151" s="227" t="s">
        <v>350</v>
      </c>
      <c r="J151" s="228" t="s">
        <v>349</v>
      </c>
    </row>
    <row r="152" spans="1:10" ht="25.5" x14ac:dyDescent="0.25">
      <c r="A152" s="475" t="s">
        <v>772</v>
      </c>
      <c r="B152" s="272" t="s">
        <v>683</v>
      </c>
      <c r="C152" s="318" t="s">
        <v>135</v>
      </c>
      <c r="D152" s="251">
        <f>SUM(J152:J156)</f>
        <v>8.6579979999999992</v>
      </c>
      <c r="E152" s="318"/>
      <c r="F152" s="272"/>
      <c r="G152" s="318"/>
      <c r="H152" s="332"/>
      <c r="I152" s="251"/>
      <c r="J152" s="333"/>
    </row>
    <row r="153" spans="1:10" ht="25.5" x14ac:dyDescent="0.25">
      <c r="A153" s="476"/>
      <c r="B153" s="272" t="s">
        <v>683</v>
      </c>
      <c r="C153" s="318" t="s">
        <v>135</v>
      </c>
      <c r="D153" s="251">
        <f>D152</f>
        <v>8.6579979999999992</v>
      </c>
      <c r="E153" s="318">
        <v>1891</v>
      </c>
      <c r="F153" s="272" t="s">
        <v>684</v>
      </c>
      <c r="G153" s="318" t="s">
        <v>135</v>
      </c>
      <c r="H153" s="332">
        <v>1</v>
      </c>
      <c r="I153" s="251">
        <v>1.85</v>
      </c>
      <c r="J153" s="333">
        <f t="shared" ref="J153:J156" si="22">H153*I153</f>
        <v>1.85</v>
      </c>
    </row>
    <row r="154" spans="1:10" ht="25.5" x14ac:dyDescent="0.25">
      <c r="A154" s="476"/>
      <c r="B154" s="272" t="s">
        <v>683</v>
      </c>
      <c r="C154" s="318" t="s">
        <v>135</v>
      </c>
      <c r="D154" s="251">
        <f>D153</f>
        <v>8.6579979999999992</v>
      </c>
      <c r="E154" s="318">
        <v>20080</v>
      </c>
      <c r="F154" s="272" t="s">
        <v>685</v>
      </c>
      <c r="G154" s="318" t="s">
        <v>135</v>
      </c>
      <c r="H154" s="332">
        <v>3.4299999999999997E-2</v>
      </c>
      <c r="I154" s="251">
        <v>24.86</v>
      </c>
      <c r="J154" s="333">
        <f t="shared" si="22"/>
        <v>0.85269799999999996</v>
      </c>
    </row>
    <row r="155" spans="1:10" ht="25.5" x14ac:dyDescent="0.25">
      <c r="A155" s="476"/>
      <c r="B155" s="272" t="s">
        <v>683</v>
      </c>
      <c r="C155" s="318" t="s">
        <v>135</v>
      </c>
      <c r="D155" s="304">
        <f>D153</f>
        <v>8.6579979999999992</v>
      </c>
      <c r="E155" s="318">
        <v>88247</v>
      </c>
      <c r="F155" s="272" t="s">
        <v>181</v>
      </c>
      <c r="G155" s="318" t="s">
        <v>136</v>
      </c>
      <c r="H155" s="332">
        <v>0.11700000000000001</v>
      </c>
      <c r="I155" s="304">
        <v>22.95</v>
      </c>
      <c r="J155" s="362">
        <f t="shared" si="22"/>
        <v>2.6851500000000001</v>
      </c>
    </row>
    <row r="156" spans="1:10" ht="26.25" thickBot="1" x14ac:dyDescent="0.3">
      <c r="A156" s="477"/>
      <c r="B156" s="334" t="s">
        <v>683</v>
      </c>
      <c r="C156" s="335" t="s">
        <v>135</v>
      </c>
      <c r="D156" s="336">
        <f>D154</f>
        <v>8.6579979999999992</v>
      </c>
      <c r="E156" s="335">
        <v>88264</v>
      </c>
      <c r="F156" s="334" t="s">
        <v>184</v>
      </c>
      <c r="G156" s="335" t="s">
        <v>136</v>
      </c>
      <c r="H156" s="337">
        <v>0.11700000000000001</v>
      </c>
      <c r="I156" s="336">
        <v>27.95</v>
      </c>
      <c r="J156" s="338">
        <f t="shared" si="22"/>
        <v>3.2701500000000001</v>
      </c>
    </row>
    <row r="157" spans="1:10" ht="15.75" thickBot="1" x14ac:dyDescent="0.3"/>
    <row r="158" spans="1:10" x14ac:dyDescent="0.25">
      <c r="A158" s="95" t="s">
        <v>341</v>
      </c>
      <c r="B158" s="96" t="s">
        <v>342</v>
      </c>
      <c r="C158" s="97" t="s">
        <v>344</v>
      </c>
      <c r="D158" s="97" t="s">
        <v>343</v>
      </c>
      <c r="E158" s="97" t="s">
        <v>345</v>
      </c>
      <c r="F158" s="96" t="s">
        <v>346</v>
      </c>
      <c r="G158" s="97" t="s">
        <v>347</v>
      </c>
      <c r="H158" s="258" t="s">
        <v>348</v>
      </c>
      <c r="I158" s="227" t="s">
        <v>350</v>
      </c>
      <c r="J158" s="228" t="s">
        <v>349</v>
      </c>
    </row>
    <row r="159" spans="1:10" ht="25.5" x14ac:dyDescent="0.25">
      <c r="A159" s="475" t="s">
        <v>771</v>
      </c>
      <c r="B159" s="272" t="s">
        <v>687</v>
      </c>
      <c r="C159" s="318" t="s">
        <v>135</v>
      </c>
      <c r="D159" s="251">
        <f>SUM(J159:J163)</f>
        <v>10.516342</v>
      </c>
      <c r="E159" s="318"/>
      <c r="F159" s="272"/>
      <c r="G159" s="318"/>
      <c r="H159" s="332"/>
      <c r="I159" s="251"/>
      <c r="J159" s="333"/>
    </row>
    <row r="160" spans="1:10" ht="25.5" x14ac:dyDescent="0.25">
      <c r="A160" s="476"/>
      <c r="B160" s="272" t="s">
        <v>687</v>
      </c>
      <c r="C160" s="318" t="s">
        <v>135</v>
      </c>
      <c r="D160" s="251">
        <f>D159</f>
        <v>10.516342</v>
      </c>
      <c r="E160" s="318">
        <v>1892</v>
      </c>
      <c r="F160" s="272" t="s">
        <v>686</v>
      </c>
      <c r="G160" s="318" t="s">
        <v>135</v>
      </c>
      <c r="H160" s="332">
        <v>1</v>
      </c>
      <c r="I160" s="251">
        <v>2.58</v>
      </c>
      <c r="J160" s="333">
        <f t="shared" ref="J160:J163" si="23">H160*I160</f>
        <v>2.58</v>
      </c>
    </row>
    <row r="161" spans="1:10" ht="25.5" x14ac:dyDescent="0.25">
      <c r="A161" s="476"/>
      <c r="B161" s="272" t="s">
        <v>687</v>
      </c>
      <c r="C161" s="318" t="s">
        <v>135</v>
      </c>
      <c r="D161" s="251">
        <f>D160</f>
        <v>10.516342</v>
      </c>
      <c r="E161" s="318">
        <v>20080</v>
      </c>
      <c r="F161" s="272" t="s">
        <v>685</v>
      </c>
      <c r="G161" s="318" t="s">
        <v>135</v>
      </c>
      <c r="H161" s="332">
        <v>4.5699999999999998E-2</v>
      </c>
      <c r="I161" s="251">
        <v>24.86</v>
      </c>
      <c r="J161" s="333">
        <f t="shared" si="23"/>
        <v>1.1361019999999999</v>
      </c>
    </row>
    <row r="162" spans="1:10" ht="26.25" thickBot="1" x14ac:dyDescent="0.3">
      <c r="A162" s="476"/>
      <c r="B162" s="272" t="s">
        <v>687</v>
      </c>
      <c r="C162" s="318" t="s">
        <v>135</v>
      </c>
      <c r="D162" s="304">
        <f>D160</f>
        <v>10.516342</v>
      </c>
      <c r="E162" s="318">
        <v>88247</v>
      </c>
      <c r="F162" s="272" t="s">
        <v>181</v>
      </c>
      <c r="G162" s="318" t="s">
        <v>136</v>
      </c>
      <c r="H162" s="332">
        <v>0.1336</v>
      </c>
      <c r="I162" s="304">
        <v>22.95</v>
      </c>
      <c r="J162" s="362">
        <f t="shared" si="23"/>
        <v>3.0661199999999997</v>
      </c>
    </row>
    <row r="163" spans="1:10" ht="26.25" thickBot="1" x14ac:dyDescent="0.3">
      <c r="A163" s="477"/>
      <c r="B163" s="272" t="s">
        <v>687</v>
      </c>
      <c r="C163" s="335" t="s">
        <v>135</v>
      </c>
      <c r="D163" s="336">
        <f>D161</f>
        <v>10.516342</v>
      </c>
      <c r="E163" s="335">
        <v>88264</v>
      </c>
      <c r="F163" s="334" t="s">
        <v>184</v>
      </c>
      <c r="G163" s="335" t="s">
        <v>136</v>
      </c>
      <c r="H163" s="337">
        <v>0.1336</v>
      </c>
      <c r="I163" s="336">
        <v>27.95</v>
      </c>
      <c r="J163" s="338">
        <f t="shared" si="23"/>
        <v>3.7341199999999999</v>
      </c>
    </row>
    <row r="164" spans="1:10" ht="15.75" thickBot="1" x14ac:dyDescent="0.3"/>
    <row r="165" spans="1:10" x14ac:dyDescent="0.25">
      <c r="A165" s="95" t="s">
        <v>341</v>
      </c>
      <c r="B165" s="96" t="s">
        <v>342</v>
      </c>
      <c r="C165" s="97" t="s">
        <v>344</v>
      </c>
      <c r="D165" s="97" t="s">
        <v>343</v>
      </c>
      <c r="E165" s="97" t="s">
        <v>345</v>
      </c>
      <c r="F165" s="96" t="s">
        <v>346</v>
      </c>
      <c r="G165" s="97" t="s">
        <v>347</v>
      </c>
      <c r="H165" s="258" t="s">
        <v>348</v>
      </c>
      <c r="I165" s="227" t="s">
        <v>350</v>
      </c>
      <c r="J165" s="228" t="s">
        <v>349</v>
      </c>
    </row>
    <row r="166" spans="1:10" ht="38.25" x14ac:dyDescent="0.25">
      <c r="A166" s="475" t="s">
        <v>770</v>
      </c>
      <c r="B166" s="284" t="s">
        <v>688</v>
      </c>
      <c r="C166" s="318" t="s">
        <v>135</v>
      </c>
      <c r="D166" s="251">
        <f>SUM(J166:J170)</f>
        <v>13.775647999999999</v>
      </c>
      <c r="E166" s="318"/>
      <c r="F166" s="272"/>
      <c r="G166" s="318"/>
      <c r="H166" s="332"/>
      <c r="I166" s="251"/>
      <c r="J166" s="333"/>
    </row>
    <row r="167" spans="1:10" ht="38.25" x14ac:dyDescent="0.25">
      <c r="A167" s="476"/>
      <c r="B167" s="284" t="s">
        <v>688</v>
      </c>
      <c r="C167" s="318" t="s">
        <v>135</v>
      </c>
      <c r="D167" s="251">
        <f>D166</f>
        <v>13.775647999999999</v>
      </c>
      <c r="E167" s="318">
        <v>39272</v>
      </c>
      <c r="F167" s="272" t="s">
        <v>689</v>
      </c>
      <c r="G167" s="318" t="s">
        <v>135</v>
      </c>
      <c r="H167" s="332">
        <v>1</v>
      </c>
      <c r="I167" s="251">
        <v>3.99</v>
      </c>
      <c r="J167" s="333">
        <f t="shared" ref="J167:J170" si="24">H167*I167</f>
        <v>3.99</v>
      </c>
    </row>
    <row r="168" spans="1:10" ht="38.25" x14ac:dyDescent="0.25">
      <c r="A168" s="476"/>
      <c r="B168" s="284" t="s">
        <v>688</v>
      </c>
      <c r="C168" s="318" t="s">
        <v>135</v>
      </c>
      <c r="D168" s="251">
        <f>D167</f>
        <v>13.775647999999999</v>
      </c>
      <c r="E168" s="318">
        <v>20080</v>
      </c>
      <c r="F168" s="272" t="s">
        <v>685</v>
      </c>
      <c r="G168" s="318" t="s">
        <v>135</v>
      </c>
      <c r="H168" s="332">
        <v>3.4299999999999997E-2</v>
      </c>
      <c r="I168" s="251">
        <v>24.86</v>
      </c>
      <c r="J168" s="333">
        <f t="shared" si="24"/>
        <v>0.85269799999999996</v>
      </c>
    </row>
    <row r="169" spans="1:10" ht="38.25" x14ac:dyDescent="0.25">
      <c r="A169" s="476"/>
      <c r="B169" s="284" t="s">
        <v>688</v>
      </c>
      <c r="C169" s="318" t="s">
        <v>135</v>
      </c>
      <c r="D169" s="304">
        <f>D167</f>
        <v>13.775647999999999</v>
      </c>
      <c r="E169" s="318">
        <v>88247</v>
      </c>
      <c r="F169" s="272" t="s">
        <v>181</v>
      </c>
      <c r="G169" s="318" t="s">
        <v>136</v>
      </c>
      <c r="H169" s="332">
        <v>0.17549999999999999</v>
      </c>
      <c r="I169" s="304">
        <v>22.95</v>
      </c>
      <c r="J169" s="362">
        <f t="shared" si="24"/>
        <v>4.0277249999999993</v>
      </c>
    </row>
    <row r="170" spans="1:10" ht="39" thickBot="1" x14ac:dyDescent="0.3">
      <c r="A170" s="477"/>
      <c r="B170" s="356" t="s">
        <v>688</v>
      </c>
      <c r="C170" s="335" t="s">
        <v>135</v>
      </c>
      <c r="D170" s="336">
        <f>D168</f>
        <v>13.775647999999999</v>
      </c>
      <c r="E170" s="335">
        <v>88264</v>
      </c>
      <c r="F170" s="334" t="s">
        <v>184</v>
      </c>
      <c r="G170" s="335" t="s">
        <v>136</v>
      </c>
      <c r="H170" s="337">
        <v>0.17549999999999999</v>
      </c>
      <c r="I170" s="336">
        <v>27.95</v>
      </c>
      <c r="J170" s="338">
        <f t="shared" si="24"/>
        <v>4.9052249999999997</v>
      </c>
    </row>
    <row r="171" spans="1:10" ht="15.75" thickBot="1" x14ac:dyDescent="0.3"/>
    <row r="172" spans="1:10" x14ac:dyDescent="0.25">
      <c r="A172" s="95" t="s">
        <v>341</v>
      </c>
      <c r="B172" s="96" t="s">
        <v>342</v>
      </c>
      <c r="C172" s="97" t="s">
        <v>344</v>
      </c>
      <c r="D172" s="97" t="s">
        <v>343</v>
      </c>
      <c r="E172" s="97" t="s">
        <v>345</v>
      </c>
      <c r="F172" s="96" t="s">
        <v>346</v>
      </c>
      <c r="G172" s="97" t="s">
        <v>347</v>
      </c>
      <c r="H172" s="258" t="s">
        <v>348</v>
      </c>
      <c r="I172" s="227" t="s">
        <v>350</v>
      </c>
      <c r="J172" s="228" t="s">
        <v>349</v>
      </c>
    </row>
    <row r="173" spans="1:10" ht="25.5" x14ac:dyDescent="0.25">
      <c r="A173" s="475" t="s">
        <v>769</v>
      </c>
      <c r="B173" s="284" t="s">
        <v>653</v>
      </c>
      <c r="C173" s="318" t="s">
        <v>135</v>
      </c>
      <c r="D173" s="251">
        <f>SUM(J173:J177)</f>
        <v>113.56056000000001</v>
      </c>
      <c r="E173" s="318"/>
      <c r="F173" s="272"/>
      <c r="G173" s="318"/>
      <c r="H173" s="332"/>
      <c r="I173" s="251"/>
      <c r="J173" s="333"/>
    </row>
    <row r="174" spans="1:10" ht="25.5" x14ac:dyDescent="0.25">
      <c r="A174" s="476"/>
      <c r="B174" s="284" t="s">
        <v>653</v>
      </c>
      <c r="C174" s="318" t="s">
        <v>135</v>
      </c>
      <c r="D174" s="251">
        <f>D173</f>
        <v>113.56056000000001</v>
      </c>
      <c r="E174" s="318">
        <v>1577</v>
      </c>
      <c r="F174" s="272" t="s">
        <v>707</v>
      </c>
      <c r="G174" s="318" t="s">
        <v>135</v>
      </c>
      <c r="H174" s="332">
        <v>2</v>
      </c>
      <c r="I174" s="251">
        <v>2.77</v>
      </c>
      <c r="J174" s="333">
        <f t="shared" ref="J174:J177" si="25">H174*I174</f>
        <v>5.54</v>
      </c>
    </row>
    <row r="175" spans="1:10" ht="25.5" x14ac:dyDescent="0.25">
      <c r="A175" s="476"/>
      <c r="B175" s="284" t="s">
        <v>653</v>
      </c>
      <c r="C175" s="318" t="s">
        <v>135</v>
      </c>
      <c r="D175" s="251">
        <f>D174</f>
        <v>113.56056000000001</v>
      </c>
      <c r="E175" s="318">
        <v>34628</v>
      </c>
      <c r="F175" s="272" t="s">
        <v>655</v>
      </c>
      <c r="G175" s="318" t="s">
        <v>135</v>
      </c>
      <c r="H175" s="332">
        <v>1</v>
      </c>
      <c r="I175" s="251">
        <v>88.76</v>
      </c>
      <c r="J175" s="333">
        <f t="shared" si="25"/>
        <v>88.76</v>
      </c>
    </row>
    <row r="176" spans="1:10" ht="25.5" x14ac:dyDescent="0.25">
      <c r="A176" s="476"/>
      <c r="B176" s="284" t="s">
        <v>653</v>
      </c>
      <c r="C176" s="318" t="s">
        <v>135</v>
      </c>
      <c r="D176" s="304">
        <f>D174</f>
        <v>113.56056000000001</v>
      </c>
      <c r="E176" s="318">
        <v>88247</v>
      </c>
      <c r="F176" s="272" t="s">
        <v>181</v>
      </c>
      <c r="G176" s="318" t="s">
        <v>136</v>
      </c>
      <c r="H176" s="332">
        <v>0.37840000000000001</v>
      </c>
      <c r="I176" s="304">
        <v>22.95</v>
      </c>
      <c r="J176" s="362">
        <f t="shared" si="25"/>
        <v>8.6842799999999993</v>
      </c>
    </row>
    <row r="177" spans="1:10" ht="26.25" thickBot="1" x14ac:dyDescent="0.3">
      <c r="A177" s="477"/>
      <c r="B177" s="356" t="s">
        <v>653</v>
      </c>
      <c r="C177" s="335" t="s">
        <v>135</v>
      </c>
      <c r="D177" s="336">
        <f>D175</f>
        <v>113.56056000000001</v>
      </c>
      <c r="E177" s="335">
        <v>88264</v>
      </c>
      <c r="F177" s="334" t="s">
        <v>184</v>
      </c>
      <c r="G177" s="335" t="s">
        <v>136</v>
      </c>
      <c r="H177" s="337">
        <v>0.37840000000000001</v>
      </c>
      <c r="I177" s="336">
        <v>27.95</v>
      </c>
      <c r="J177" s="338">
        <f t="shared" si="25"/>
        <v>10.576280000000001</v>
      </c>
    </row>
    <row r="179" spans="1:10" ht="15.75" thickBot="1" x14ac:dyDescent="0.3"/>
    <row r="180" spans="1:10" x14ac:dyDescent="0.25">
      <c r="A180" s="95" t="s">
        <v>341</v>
      </c>
      <c r="B180" s="96" t="s">
        <v>342</v>
      </c>
      <c r="C180" s="97" t="s">
        <v>344</v>
      </c>
      <c r="D180" s="97" t="s">
        <v>343</v>
      </c>
      <c r="E180" s="97" t="s">
        <v>345</v>
      </c>
      <c r="F180" s="96" t="s">
        <v>346</v>
      </c>
      <c r="G180" s="97" t="s">
        <v>347</v>
      </c>
      <c r="H180" s="258" t="s">
        <v>348</v>
      </c>
      <c r="I180" s="227" t="s">
        <v>350</v>
      </c>
      <c r="J180" s="228" t="s">
        <v>349</v>
      </c>
    </row>
    <row r="181" spans="1:10" ht="38.25" x14ac:dyDescent="0.25">
      <c r="A181" s="475" t="s">
        <v>768</v>
      </c>
      <c r="B181" s="284" t="s">
        <v>710</v>
      </c>
      <c r="C181" s="318" t="s">
        <v>135</v>
      </c>
      <c r="D181" s="251">
        <f>SUM(J181:J184)</f>
        <v>896.11597000000006</v>
      </c>
      <c r="E181" s="318"/>
      <c r="F181" s="272"/>
      <c r="G181" s="318"/>
      <c r="H181" s="332"/>
      <c r="I181" s="251"/>
      <c r="J181" s="333"/>
    </row>
    <row r="182" spans="1:10" ht="38.25" x14ac:dyDescent="0.25">
      <c r="A182" s="476"/>
      <c r="B182" s="284" t="s">
        <v>710</v>
      </c>
      <c r="C182" s="318" t="s">
        <v>135</v>
      </c>
      <c r="D182" s="251">
        <f>D181</f>
        <v>896.11597000000006</v>
      </c>
      <c r="E182" s="318">
        <v>39758</v>
      </c>
      <c r="F182" s="272" t="s">
        <v>708</v>
      </c>
      <c r="G182" s="318" t="s">
        <v>135</v>
      </c>
      <c r="H182" s="332">
        <v>1</v>
      </c>
      <c r="I182" s="251">
        <v>818.58</v>
      </c>
      <c r="J182" s="333">
        <f t="shared" ref="J182:J184" si="26">H182*I182</f>
        <v>818.58</v>
      </c>
    </row>
    <row r="183" spans="1:10" ht="38.25" x14ac:dyDescent="0.25">
      <c r="A183" s="476"/>
      <c r="B183" s="284" t="s">
        <v>710</v>
      </c>
      <c r="C183" s="318" t="s">
        <v>135</v>
      </c>
      <c r="D183" s="304">
        <f>D182</f>
        <v>896.11597000000006</v>
      </c>
      <c r="E183" s="318">
        <v>88247</v>
      </c>
      <c r="F183" s="272" t="s">
        <v>181</v>
      </c>
      <c r="G183" s="318" t="s">
        <v>136</v>
      </c>
      <c r="H183" s="332">
        <v>1.5233000000000001</v>
      </c>
      <c r="I183" s="304">
        <v>22.95</v>
      </c>
      <c r="J183" s="362">
        <f t="shared" si="26"/>
        <v>34.959735000000002</v>
      </c>
    </row>
    <row r="184" spans="1:10" ht="39" thickBot="1" x14ac:dyDescent="0.3">
      <c r="A184" s="476"/>
      <c r="B184" s="284" t="s">
        <v>710</v>
      </c>
      <c r="C184" s="360" t="s">
        <v>135</v>
      </c>
      <c r="D184" s="304">
        <f>D183</f>
        <v>896.11597000000006</v>
      </c>
      <c r="E184" s="360">
        <v>88264</v>
      </c>
      <c r="F184" s="295" t="s">
        <v>184</v>
      </c>
      <c r="G184" s="360" t="s">
        <v>136</v>
      </c>
      <c r="H184" s="361">
        <v>1.5233000000000001</v>
      </c>
      <c r="I184" s="304">
        <v>27.95</v>
      </c>
      <c r="J184" s="362">
        <f t="shared" si="26"/>
        <v>42.576235000000004</v>
      </c>
    </row>
    <row r="185" spans="1:10" ht="15.75" thickBot="1" x14ac:dyDescent="0.3">
      <c r="A185" s="478" t="s">
        <v>709</v>
      </c>
      <c r="B185" s="479"/>
      <c r="C185" s="479"/>
      <c r="D185" s="479"/>
      <c r="E185" s="479"/>
      <c r="F185" s="479"/>
      <c r="G185" s="479"/>
      <c r="H185" s="479"/>
      <c r="I185" s="479"/>
      <c r="J185" s="480"/>
    </row>
    <row r="186" spans="1:10" ht="15.75" thickBot="1" x14ac:dyDescent="0.3"/>
    <row r="187" spans="1:10" x14ac:dyDescent="0.25">
      <c r="A187" s="95" t="s">
        <v>341</v>
      </c>
      <c r="B187" s="96" t="s">
        <v>342</v>
      </c>
      <c r="C187" s="97" t="s">
        <v>344</v>
      </c>
      <c r="D187" s="97" t="s">
        <v>343</v>
      </c>
      <c r="E187" s="97" t="s">
        <v>345</v>
      </c>
      <c r="F187" s="96" t="s">
        <v>346</v>
      </c>
      <c r="G187" s="97" t="s">
        <v>347</v>
      </c>
      <c r="H187" s="258" t="s">
        <v>348</v>
      </c>
      <c r="I187" s="227" t="s">
        <v>350</v>
      </c>
      <c r="J187" s="228" t="s">
        <v>349</v>
      </c>
    </row>
    <row r="188" spans="1:10" ht="25.5" x14ac:dyDescent="0.25">
      <c r="A188" s="475" t="s">
        <v>767</v>
      </c>
      <c r="B188" s="284" t="s">
        <v>756</v>
      </c>
      <c r="C188" s="318" t="s">
        <v>135</v>
      </c>
      <c r="D188" s="251">
        <f>SUM(J188:J192)</f>
        <v>70.652389999999997</v>
      </c>
      <c r="E188" s="318"/>
      <c r="F188" s="272"/>
      <c r="G188" s="318"/>
      <c r="H188" s="332"/>
      <c r="I188" s="251"/>
      <c r="J188" s="333"/>
    </row>
    <row r="189" spans="1:10" ht="25.5" x14ac:dyDescent="0.25">
      <c r="A189" s="476"/>
      <c r="B189" s="284" t="s">
        <v>756</v>
      </c>
      <c r="C189" s="318" t="s">
        <v>135</v>
      </c>
      <c r="D189" s="251">
        <f>D188</f>
        <v>70.652389999999997</v>
      </c>
      <c r="E189" s="318">
        <v>2582</v>
      </c>
      <c r="F189" s="272" t="s">
        <v>757</v>
      </c>
      <c r="G189" s="318" t="s">
        <v>135</v>
      </c>
      <c r="H189" s="332">
        <v>1</v>
      </c>
      <c r="I189" s="251">
        <v>39.78</v>
      </c>
      <c r="J189" s="333">
        <f t="shared" ref="J189:J192" si="27">H189*I189</f>
        <v>39.78</v>
      </c>
    </row>
    <row r="190" spans="1:10" ht="25.5" x14ac:dyDescent="0.25">
      <c r="A190" s="476"/>
      <c r="B190" s="284" t="s">
        <v>756</v>
      </c>
      <c r="C190" s="318" t="s">
        <v>135</v>
      </c>
      <c r="D190" s="251">
        <f>D189</f>
        <v>70.652389999999997</v>
      </c>
      <c r="E190" s="318">
        <v>11950</v>
      </c>
      <c r="F190" s="272" t="s">
        <v>638</v>
      </c>
      <c r="G190" s="318" t="s">
        <v>135</v>
      </c>
      <c r="H190" s="332">
        <v>2</v>
      </c>
      <c r="I190" s="251">
        <v>0.24</v>
      </c>
      <c r="J190" s="333">
        <f t="shared" ref="J190" si="28">H190*I190</f>
        <v>0.48</v>
      </c>
    </row>
    <row r="191" spans="1:10" ht="25.5" x14ac:dyDescent="0.25">
      <c r="A191" s="476"/>
      <c r="B191" s="284" t="s">
        <v>756</v>
      </c>
      <c r="C191" s="318" t="s">
        <v>135</v>
      </c>
      <c r="D191" s="304">
        <f>D189</f>
        <v>70.652389999999997</v>
      </c>
      <c r="E191" s="318">
        <v>88247</v>
      </c>
      <c r="F191" s="272" t="s">
        <v>181</v>
      </c>
      <c r="G191" s="318" t="s">
        <v>136</v>
      </c>
      <c r="H191" s="332">
        <v>0.59709999999999996</v>
      </c>
      <c r="I191" s="304">
        <v>22.95</v>
      </c>
      <c r="J191" s="362">
        <f t="shared" si="27"/>
        <v>13.703444999999999</v>
      </c>
    </row>
    <row r="192" spans="1:10" ht="26.25" thickBot="1" x14ac:dyDescent="0.3">
      <c r="A192" s="477"/>
      <c r="B192" s="356" t="s">
        <v>756</v>
      </c>
      <c r="C192" s="335" t="s">
        <v>135</v>
      </c>
      <c r="D192" s="336">
        <f>D191</f>
        <v>70.652389999999997</v>
      </c>
      <c r="E192" s="335">
        <v>88264</v>
      </c>
      <c r="F192" s="334" t="s">
        <v>184</v>
      </c>
      <c r="G192" s="335" t="s">
        <v>136</v>
      </c>
      <c r="H192" s="337">
        <v>0.59709999999999996</v>
      </c>
      <c r="I192" s="336">
        <v>27.95</v>
      </c>
      <c r="J192" s="338">
        <f t="shared" si="27"/>
        <v>16.688944999999997</v>
      </c>
    </row>
  </sheetData>
  <mergeCells count="26">
    <mergeCell ref="A1:J1"/>
    <mergeCell ref="A4:A10"/>
    <mergeCell ref="A13:A18"/>
    <mergeCell ref="A82:A85"/>
    <mergeCell ref="A21:A26"/>
    <mergeCell ref="A60:A67"/>
    <mergeCell ref="A48:A55"/>
    <mergeCell ref="A30:A32"/>
    <mergeCell ref="A35:A37"/>
    <mergeCell ref="A40:A44"/>
    <mergeCell ref="A188:A192"/>
    <mergeCell ref="A181:A184"/>
    <mergeCell ref="A185:J185"/>
    <mergeCell ref="A70:A78"/>
    <mergeCell ref="A111:A114"/>
    <mergeCell ref="A103:A108"/>
    <mergeCell ref="A89:A93"/>
    <mergeCell ref="A152:A156"/>
    <mergeCell ref="A159:A163"/>
    <mergeCell ref="A166:A170"/>
    <mergeCell ref="A173:A177"/>
    <mergeCell ref="A96:A99"/>
    <mergeCell ref="A140:A143"/>
    <mergeCell ref="A146:A149"/>
    <mergeCell ref="A117:A129"/>
    <mergeCell ref="A132:A136"/>
  </mergeCells>
  <hyperlinks>
    <hyperlink ref="B56" r:id="rId1" xr:uid="{B066C49E-265D-4D8C-B7EF-AE7241479263}"/>
  </hyperlinks>
  <pageMargins left="0.511811024" right="0.511811024" top="0.78740157499999996" bottom="0.78740157499999996" header="0.31496062000000002" footer="0.31496062000000002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69"/>
  <sheetViews>
    <sheetView view="pageBreakPreview" zoomScale="70" zoomScaleNormal="85" zoomScaleSheetLayoutView="70" workbookViewId="0">
      <selection activeCell="H13" sqref="H13"/>
    </sheetView>
  </sheetViews>
  <sheetFormatPr defaultRowHeight="15" x14ac:dyDescent="0.25"/>
  <cols>
    <col min="1" max="1" width="9.140625" style="60"/>
    <col min="2" max="2" width="13.7109375" style="98" bestFit="1" customWidth="1"/>
    <col min="3" max="3" width="145.5703125" style="98" customWidth="1"/>
    <col min="4" max="4" width="25.42578125" style="98" customWidth="1"/>
    <col min="5" max="5" width="18.7109375" style="98" customWidth="1"/>
    <col min="6" max="6" width="11.28515625" style="98" bestFit="1" customWidth="1"/>
  </cols>
  <sheetData>
    <row r="1" spans="1:6" ht="15.75" thickBot="1" x14ac:dyDescent="0.3">
      <c r="A1" s="415" t="s">
        <v>351</v>
      </c>
      <c r="B1" s="416"/>
      <c r="C1" s="416"/>
      <c r="D1" s="416"/>
      <c r="E1" s="416"/>
      <c r="F1" s="417"/>
    </row>
    <row r="2" spans="1:6" ht="15.75" thickBot="1" x14ac:dyDescent="0.3">
      <c r="A2" s="115" t="s">
        <v>352</v>
      </c>
      <c r="B2" s="116" t="s">
        <v>342</v>
      </c>
      <c r="C2" s="117" t="s">
        <v>505</v>
      </c>
      <c r="D2" s="117" t="s">
        <v>349</v>
      </c>
      <c r="E2" s="117" t="s">
        <v>357</v>
      </c>
      <c r="F2" s="118" t="s">
        <v>353</v>
      </c>
    </row>
    <row r="3" spans="1:6" x14ac:dyDescent="0.25">
      <c r="A3" s="492" t="s">
        <v>475</v>
      </c>
      <c r="B3" s="502" t="s">
        <v>354</v>
      </c>
      <c r="C3" s="277" t="s">
        <v>697</v>
      </c>
      <c r="D3" s="279">
        <v>897.31</v>
      </c>
      <c r="E3" s="503">
        <f>SUM(D3:D5)/3</f>
        <v>856.95666666666659</v>
      </c>
      <c r="F3" s="363">
        <v>44860</v>
      </c>
    </row>
    <row r="4" spans="1:6" x14ac:dyDescent="0.25">
      <c r="A4" s="493"/>
      <c r="B4" s="484"/>
      <c r="C4" s="284" t="s">
        <v>698</v>
      </c>
      <c r="D4" s="286">
        <v>836.07</v>
      </c>
      <c r="E4" s="503"/>
      <c r="F4" s="364">
        <v>44860</v>
      </c>
    </row>
    <row r="5" spans="1:6" ht="15.75" thickBot="1" x14ac:dyDescent="0.3">
      <c r="A5" s="494"/>
      <c r="B5" s="485"/>
      <c r="C5" s="356" t="s">
        <v>699</v>
      </c>
      <c r="D5" s="365">
        <v>837.49</v>
      </c>
      <c r="E5" s="504"/>
      <c r="F5" s="366">
        <v>44860</v>
      </c>
    </row>
    <row r="6" spans="1:6" ht="15.75" thickBot="1" x14ac:dyDescent="0.3">
      <c r="A6" s="98"/>
      <c r="C6" s="121"/>
      <c r="D6" s="122"/>
      <c r="E6" s="122"/>
    </row>
    <row r="7" spans="1:6" ht="15.75" thickBot="1" x14ac:dyDescent="0.3">
      <c r="A7" s="119" t="s">
        <v>352</v>
      </c>
      <c r="B7" s="116" t="s">
        <v>342</v>
      </c>
      <c r="C7" s="117" t="s">
        <v>505</v>
      </c>
      <c r="D7" s="120" t="s">
        <v>349</v>
      </c>
      <c r="E7" s="120" t="s">
        <v>357</v>
      </c>
      <c r="F7" s="118" t="s">
        <v>353</v>
      </c>
    </row>
    <row r="8" spans="1:6" ht="30" x14ac:dyDescent="0.25">
      <c r="A8" s="492" t="s">
        <v>476</v>
      </c>
      <c r="B8" s="505" t="s">
        <v>355</v>
      </c>
      <c r="C8" s="367" t="s">
        <v>701</v>
      </c>
      <c r="D8" s="368">
        <v>84.2</v>
      </c>
      <c r="E8" s="501">
        <f>SUM(D8:D10)/3</f>
        <v>82.006666666666661</v>
      </c>
      <c r="F8" s="369">
        <v>44860</v>
      </c>
    </row>
    <row r="9" spans="1:6" ht="75" x14ac:dyDescent="0.25">
      <c r="A9" s="493"/>
      <c r="B9" s="476"/>
      <c r="C9" s="370" t="s">
        <v>702</v>
      </c>
      <c r="D9" s="286">
        <v>78.989999999999995</v>
      </c>
      <c r="E9" s="498"/>
      <c r="F9" s="364">
        <v>44860</v>
      </c>
    </row>
    <row r="10" spans="1:6" ht="15.75" thickBot="1" x14ac:dyDescent="0.3">
      <c r="A10" s="494"/>
      <c r="B10" s="477"/>
      <c r="C10" s="371" t="s">
        <v>332</v>
      </c>
      <c r="D10" s="365">
        <v>82.83</v>
      </c>
      <c r="E10" s="499"/>
      <c r="F10" s="366">
        <v>44860</v>
      </c>
    </row>
    <row r="11" spans="1:6" ht="15.75" thickBot="1" x14ac:dyDescent="0.3">
      <c r="A11" s="98"/>
      <c r="C11" s="121"/>
      <c r="D11" s="122"/>
      <c r="E11" s="122"/>
    </row>
    <row r="12" spans="1:6" ht="15.75" thickBot="1" x14ac:dyDescent="0.3">
      <c r="A12" s="119" t="s">
        <v>352</v>
      </c>
      <c r="B12" s="116" t="s">
        <v>342</v>
      </c>
      <c r="C12" s="117" t="s">
        <v>505</v>
      </c>
      <c r="D12" s="120" t="s">
        <v>349</v>
      </c>
      <c r="E12" s="120" t="s">
        <v>357</v>
      </c>
      <c r="F12" s="118" t="s">
        <v>353</v>
      </c>
    </row>
    <row r="13" spans="1:6" ht="45" x14ac:dyDescent="0.25">
      <c r="A13" s="492" t="s">
        <v>477</v>
      </c>
      <c r="B13" s="487" t="s">
        <v>356</v>
      </c>
      <c r="C13" s="372" t="s">
        <v>333</v>
      </c>
      <c r="D13" s="368">
        <v>938.55</v>
      </c>
      <c r="E13" s="501">
        <f>SUM(D13:D15)/3</f>
        <v>924.39</v>
      </c>
      <c r="F13" s="369">
        <v>44860</v>
      </c>
    </row>
    <row r="14" spans="1:6" ht="45" x14ac:dyDescent="0.25">
      <c r="A14" s="493"/>
      <c r="B14" s="487"/>
      <c r="C14" s="373" t="s">
        <v>334</v>
      </c>
      <c r="D14" s="286">
        <v>819.72</v>
      </c>
      <c r="E14" s="498"/>
      <c r="F14" s="364">
        <v>44860</v>
      </c>
    </row>
    <row r="15" spans="1:6" ht="45.75" thickBot="1" x14ac:dyDescent="0.3">
      <c r="A15" s="494"/>
      <c r="B15" s="488"/>
      <c r="C15" s="374" t="s">
        <v>335</v>
      </c>
      <c r="D15" s="365">
        <v>1014.9</v>
      </c>
      <c r="E15" s="499"/>
      <c r="F15" s="366">
        <v>44860</v>
      </c>
    </row>
    <row r="16" spans="1:6" ht="15.75" thickBot="1" x14ac:dyDescent="0.3">
      <c r="A16" s="98"/>
      <c r="C16" s="121"/>
      <c r="D16" s="122"/>
      <c r="E16" s="122"/>
    </row>
    <row r="17" spans="1:6" ht="15.75" thickBot="1" x14ac:dyDescent="0.3">
      <c r="A17" s="119" t="s">
        <v>352</v>
      </c>
      <c r="B17" s="116" t="s">
        <v>342</v>
      </c>
      <c r="C17" s="117" t="s">
        <v>505</v>
      </c>
      <c r="D17" s="120" t="s">
        <v>349</v>
      </c>
      <c r="E17" s="120" t="s">
        <v>357</v>
      </c>
      <c r="F17" s="118" t="s">
        <v>353</v>
      </c>
    </row>
    <row r="18" spans="1:6" ht="25.5" x14ac:dyDescent="0.25">
      <c r="A18" s="492" t="s">
        <v>478</v>
      </c>
      <c r="B18" s="495" t="s">
        <v>471</v>
      </c>
      <c r="C18" s="277" t="s">
        <v>472</v>
      </c>
      <c r="D18" s="279">
        <f>511.96+23.46</f>
        <v>535.41999999999996</v>
      </c>
      <c r="E18" s="497">
        <f>SUM(D18:D20)/3</f>
        <v>469.31333333333333</v>
      </c>
      <c r="F18" s="363">
        <v>44817</v>
      </c>
    </row>
    <row r="19" spans="1:6" ht="25.5" x14ac:dyDescent="0.25">
      <c r="A19" s="493"/>
      <c r="B19" s="495"/>
      <c r="C19" s="284" t="s">
        <v>473</v>
      </c>
      <c r="D19" s="286">
        <v>416.72</v>
      </c>
      <c r="E19" s="498"/>
      <c r="F19" s="364">
        <v>44817</v>
      </c>
    </row>
    <row r="20" spans="1:6" ht="26.25" thickBot="1" x14ac:dyDescent="0.3">
      <c r="A20" s="494"/>
      <c r="B20" s="496"/>
      <c r="C20" s="356" t="s">
        <v>474</v>
      </c>
      <c r="D20" s="365">
        <f>445.9+9.9</f>
        <v>455.79999999999995</v>
      </c>
      <c r="E20" s="499"/>
      <c r="F20" s="366">
        <v>44817</v>
      </c>
    </row>
    <row r="21" spans="1:6" ht="15.75" thickBot="1" x14ac:dyDescent="0.3"/>
    <row r="22" spans="1:6" ht="15.75" thickBot="1" x14ac:dyDescent="0.3">
      <c r="A22" s="119" t="s">
        <v>352</v>
      </c>
      <c r="B22" s="116" t="s">
        <v>342</v>
      </c>
      <c r="C22" s="117" t="s">
        <v>501</v>
      </c>
      <c r="D22" s="120" t="s">
        <v>349</v>
      </c>
      <c r="E22" s="120" t="s">
        <v>357</v>
      </c>
      <c r="F22" s="118" t="s">
        <v>353</v>
      </c>
    </row>
    <row r="23" spans="1:6" x14ac:dyDescent="0.25">
      <c r="A23" s="492" t="s">
        <v>493</v>
      </c>
      <c r="B23" s="495" t="s">
        <v>517</v>
      </c>
      <c r="C23" s="277" t="s">
        <v>502</v>
      </c>
      <c r="D23" s="279">
        <v>230</v>
      </c>
      <c r="E23" s="497">
        <f>SUM(D23:D25)/3</f>
        <v>159.33333333333334</v>
      </c>
      <c r="F23" s="363">
        <v>44817</v>
      </c>
    </row>
    <row r="24" spans="1:6" x14ac:dyDescent="0.25">
      <c r="A24" s="493"/>
      <c r="B24" s="495"/>
      <c r="C24" s="284" t="s">
        <v>503</v>
      </c>
      <c r="D24" s="286">
        <v>118</v>
      </c>
      <c r="E24" s="498"/>
      <c r="F24" s="364">
        <v>44817</v>
      </c>
    </row>
    <row r="25" spans="1:6" ht="30" customHeight="1" thickBot="1" x14ac:dyDescent="0.3">
      <c r="A25" s="494"/>
      <c r="B25" s="496"/>
      <c r="C25" s="356" t="s">
        <v>504</v>
      </c>
      <c r="D25" s="365">
        <v>130</v>
      </c>
      <c r="E25" s="499"/>
      <c r="F25" s="366">
        <v>44817</v>
      </c>
    </row>
    <row r="26" spans="1:6" ht="15.75" thickBot="1" x14ac:dyDescent="0.3"/>
    <row r="27" spans="1:6" ht="15.75" thickBot="1" x14ac:dyDescent="0.3">
      <c r="A27" s="119" t="s">
        <v>352</v>
      </c>
      <c r="B27" s="116" t="s">
        <v>342</v>
      </c>
      <c r="C27" s="117" t="s">
        <v>501</v>
      </c>
      <c r="D27" s="120" t="s">
        <v>349</v>
      </c>
      <c r="E27" s="120" t="s">
        <v>357</v>
      </c>
      <c r="F27" s="118" t="s">
        <v>353</v>
      </c>
    </row>
    <row r="28" spans="1:6" ht="39" customHeight="1" x14ac:dyDescent="0.25">
      <c r="A28" s="492" t="s">
        <v>515</v>
      </c>
      <c r="B28" s="495" t="s">
        <v>518</v>
      </c>
      <c r="C28" s="277" t="s">
        <v>516</v>
      </c>
      <c r="D28" s="279">
        <v>359.47</v>
      </c>
      <c r="E28" s="497">
        <f>SUM(D28:D30)/3</f>
        <v>328.99</v>
      </c>
      <c r="F28" s="363">
        <v>44818</v>
      </c>
    </row>
    <row r="29" spans="1:6" ht="27.75" customHeight="1" x14ac:dyDescent="0.25">
      <c r="A29" s="493"/>
      <c r="B29" s="495"/>
      <c r="C29" s="284" t="s">
        <v>519</v>
      </c>
      <c r="D29" s="286">
        <v>359</v>
      </c>
      <c r="E29" s="498"/>
      <c r="F29" s="364">
        <v>44818</v>
      </c>
    </row>
    <row r="30" spans="1:6" ht="34.5" customHeight="1" thickBot="1" x14ac:dyDescent="0.3">
      <c r="A30" s="494"/>
      <c r="B30" s="496"/>
      <c r="C30" s="356" t="s">
        <v>520</v>
      </c>
      <c r="D30" s="365">
        <v>268.5</v>
      </c>
      <c r="E30" s="499"/>
      <c r="F30" s="366">
        <v>44818</v>
      </c>
    </row>
    <row r="31" spans="1:6" ht="15.75" thickBot="1" x14ac:dyDescent="0.3"/>
    <row r="32" spans="1:6" ht="15.75" thickBot="1" x14ac:dyDescent="0.3">
      <c r="A32" s="119" t="s">
        <v>352</v>
      </c>
      <c r="B32" s="116" t="s">
        <v>342</v>
      </c>
      <c r="C32" s="117" t="s">
        <v>501</v>
      </c>
      <c r="D32" s="120" t="s">
        <v>349</v>
      </c>
      <c r="E32" s="120" t="s">
        <v>357</v>
      </c>
      <c r="F32" s="118" t="s">
        <v>353</v>
      </c>
    </row>
    <row r="33" spans="1:6" ht="41.25" customHeight="1" x14ac:dyDescent="0.25">
      <c r="A33" s="492" t="s">
        <v>521</v>
      </c>
      <c r="B33" s="500" t="s">
        <v>522</v>
      </c>
      <c r="C33" s="375" t="s">
        <v>524</v>
      </c>
      <c r="D33" s="368">
        <v>415.25</v>
      </c>
      <c r="E33" s="501">
        <f>SUM(D33:D34)/2</f>
        <v>417.625</v>
      </c>
      <c r="F33" s="369">
        <v>44818</v>
      </c>
    </row>
    <row r="34" spans="1:6" ht="33" customHeight="1" thickBot="1" x14ac:dyDescent="0.3">
      <c r="A34" s="494"/>
      <c r="B34" s="496"/>
      <c r="C34" s="356" t="s">
        <v>525</v>
      </c>
      <c r="D34" s="365">
        <v>420</v>
      </c>
      <c r="E34" s="499"/>
      <c r="F34" s="366">
        <v>44818</v>
      </c>
    </row>
    <row r="35" spans="1:6" ht="15.75" thickBot="1" x14ac:dyDescent="0.3"/>
    <row r="36" spans="1:6" ht="15.75" thickBot="1" x14ac:dyDescent="0.3">
      <c r="A36" s="119" t="s">
        <v>352</v>
      </c>
      <c r="B36" s="116" t="s">
        <v>342</v>
      </c>
      <c r="C36" s="117" t="s">
        <v>505</v>
      </c>
      <c r="D36" s="120" t="s">
        <v>349</v>
      </c>
      <c r="E36" s="120" t="s">
        <v>357</v>
      </c>
      <c r="F36" s="118" t="s">
        <v>353</v>
      </c>
    </row>
    <row r="37" spans="1:6" ht="25.5" customHeight="1" x14ac:dyDescent="0.25">
      <c r="A37" s="492" t="s">
        <v>589</v>
      </c>
      <c r="B37" s="495" t="s">
        <v>590</v>
      </c>
      <c r="C37" s="277" t="s">
        <v>591</v>
      </c>
      <c r="D37" s="279">
        <f>216.9+27.5</f>
        <v>244.4</v>
      </c>
      <c r="E37" s="497">
        <f>SUM(D37:D39)/3</f>
        <v>241.1</v>
      </c>
      <c r="F37" s="363">
        <v>44847</v>
      </c>
    </row>
    <row r="38" spans="1:6" ht="25.5" x14ac:dyDescent="0.25">
      <c r="A38" s="493"/>
      <c r="B38" s="495"/>
      <c r="C38" s="284" t="s">
        <v>592</v>
      </c>
      <c r="D38" s="286">
        <f>221+10.9</f>
        <v>231.9</v>
      </c>
      <c r="E38" s="498"/>
      <c r="F38" s="364">
        <v>44847</v>
      </c>
    </row>
    <row r="39" spans="1:6" ht="36.75" customHeight="1" thickBot="1" x14ac:dyDescent="0.3">
      <c r="A39" s="494"/>
      <c r="B39" s="496"/>
      <c r="C39" s="356" t="s">
        <v>593</v>
      </c>
      <c r="D39" s="365">
        <v>247</v>
      </c>
      <c r="E39" s="499"/>
      <c r="F39" s="366">
        <v>44847</v>
      </c>
    </row>
    <row r="40" spans="1:6" ht="15.75" thickBot="1" x14ac:dyDescent="0.3"/>
    <row r="41" spans="1:6" ht="15.75" thickBot="1" x14ac:dyDescent="0.3">
      <c r="A41" s="119" t="s">
        <v>352</v>
      </c>
      <c r="B41" s="116" t="s">
        <v>342</v>
      </c>
      <c r="C41" s="117" t="s">
        <v>505</v>
      </c>
      <c r="D41" s="120" t="s">
        <v>349</v>
      </c>
      <c r="E41" s="120" t="s">
        <v>357</v>
      </c>
      <c r="F41" s="118" t="s">
        <v>353</v>
      </c>
    </row>
    <row r="42" spans="1:6" ht="25.5" x14ac:dyDescent="0.25">
      <c r="A42" s="492" t="s">
        <v>597</v>
      </c>
      <c r="B42" s="495" t="s">
        <v>598</v>
      </c>
      <c r="C42" s="277" t="s">
        <v>599</v>
      </c>
      <c r="D42" s="279">
        <v>25.33</v>
      </c>
      <c r="E42" s="497">
        <f>SUM(D42:D44)/3</f>
        <v>24.756666666666664</v>
      </c>
      <c r="F42" s="363">
        <v>44847</v>
      </c>
    </row>
    <row r="43" spans="1:6" ht="25.5" x14ac:dyDescent="0.25">
      <c r="A43" s="493"/>
      <c r="B43" s="495"/>
      <c r="C43" s="284" t="s">
        <v>600</v>
      </c>
      <c r="D43" s="286">
        <v>28.25</v>
      </c>
      <c r="E43" s="498"/>
      <c r="F43" s="364">
        <v>44847</v>
      </c>
    </row>
    <row r="44" spans="1:6" ht="15.75" thickBot="1" x14ac:dyDescent="0.3">
      <c r="A44" s="494"/>
      <c r="B44" s="496"/>
      <c r="C44" s="356" t="s">
        <v>601</v>
      </c>
      <c r="D44" s="365">
        <v>20.69</v>
      </c>
      <c r="E44" s="499"/>
      <c r="F44" s="366">
        <v>44847</v>
      </c>
    </row>
    <row r="45" spans="1:6" ht="15.75" thickBot="1" x14ac:dyDescent="0.3"/>
    <row r="46" spans="1:6" ht="15.75" thickBot="1" x14ac:dyDescent="0.3">
      <c r="A46" s="119" t="s">
        <v>352</v>
      </c>
      <c r="B46" s="116" t="s">
        <v>342</v>
      </c>
      <c r="C46" s="117" t="s">
        <v>505</v>
      </c>
      <c r="D46" s="120" t="s">
        <v>349</v>
      </c>
      <c r="E46" s="120" t="s">
        <v>357</v>
      </c>
      <c r="F46" s="118" t="s">
        <v>353</v>
      </c>
    </row>
    <row r="47" spans="1:6" ht="31.5" customHeight="1" x14ac:dyDescent="0.25">
      <c r="A47" s="492" t="s">
        <v>661</v>
      </c>
      <c r="B47" s="500" t="s">
        <v>662</v>
      </c>
      <c r="C47" s="375" t="s">
        <v>665</v>
      </c>
      <c r="D47" s="368">
        <v>2.59</v>
      </c>
      <c r="E47" s="501">
        <f>SUM(D47:D49)/3</f>
        <v>2.5533333333333332</v>
      </c>
      <c r="F47" s="369">
        <v>44855</v>
      </c>
    </row>
    <row r="48" spans="1:6" ht="30.75" customHeight="1" x14ac:dyDescent="0.25">
      <c r="A48" s="493"/>
      <c r="B48" s="495"/>
      <c r="C48" s="284" t="s">
        <v>666</v>
      </c>
      <c r="D48" s="286">
        <v>2.36</v>
      </c>
      <c r="E48" s="498"/>
      <c r="F48" s="364">
        <v>44855</v>
      </c>
    </row>
    <row r="49" spans="1:6" ht="33.75" customHeight="1" thickBot="1" x14ac:dyDescent="0.3">
      <c r="A49" s="494"/>
      <c r="B49" s="496"/>
      <c r="C49" s="356" t="s">
        <v>667</v>
      </c>
      <c r="D49" s="365">
        <v>2.71</v>
      </c>
      <c r="E49" s="499"/>
      <c r="F49" s="366">
        <v>44855</v>
      </c>
    </row>
    <row r="50" spans="1:6" ht="15.75" thickBot="1" x14ac:dyDescent="0.3"/>
    <row r="51" spans="1:6" ht="15.75" thickBot="1" x14ac:dyDescent="0.3">
      <c r="A51" s="119" t="s">
        <v>352</v>
      </c>
      <c r="B51" s="116" t="s">
        <v>342</v>
      </c>
      <c r="C51" s="117" t="s">
        <v>505</v>
      </c>
      <c r="D51" s="120" t="s">
        <v>349</v>
      </c>
      <c r="E51" s="120" t="s">
        <v>357</v>
      </c>
      <c r="F51" s="118" t="s">
        <v>353</v>
      </c>
    </row>
    <row r="52" spans="1:6" ht="34.5" customHeight="1" x14ac:dyDescent="0.25">
      <c r="A52" s="492" t="s">
        <v>663</v>
      </c>
      <c r="B52" s="495" t="s">
        <v>664</v>
      </c>
      <c r="C52" s="277" t="s">
        <v>668</v>
      </c>
      <c r="D52" s="279">
        <v>3.29</v>
      </c>
      <c r="E52" s="497">
        <f>SUM(D52:D54)/3</f>
        <v>3.2099999999999995</v>
      </c>
      <c r="F52" s="363">
        <v>44855</v>
      </c>
    </row>
    <row r="53" spans="1:6" ht="24.75" customHeight="1" x14ac:dyDescent="0.25">
      <c r="A53" s="493"/>
      <c r="B53" s="495"/>
      <c r="C53" s="284" t="s">
        <v>669</v>
      </c>
      <c r="D53" s="286">
        <v>3.4</v>
      </c>
      <c r="E53" s="498"/>
      <c r="F53" s="364">
        <v>44855</v>
      </c>
    </row>
    <row r="54" spans="1:6" ht="41.25" customHeight="1" thickBot="1" x14ac:dyDescent="0.3">
      <c r="A54" s="494"/>
      <c r="B54" s="496"/>
      <c r="C54" s="356" t="s">
        <v>670</v>
      </c>
      <c r="D54" s="365">
        <v>2.94</v>
      </c>
      <c r="E54" s="499"/>
      <c r="F54" s="366">
        <v>44855</v>
      </c>
    </row>
    <row r="55" spans="1:6" ht="15.75" thickBot="1" x14ac:dyDescent="0.3"/>
    <row r="56" spans="1:6" ht="15.75" thickBot="1" x14ac:dyDescent="0.3">
      <c r="A56" s="119" t="s">
        <v>352</v>
      </c>
      <c r="B56" s="116" t="s">
        <v>342</v>
      </c>
      <c r="C56" s="117" t="s">
        <v>505</v>
      </c>
      <c r="D56" s="120" t="s">
        <v>349</v>
      </c>
      <c r="E56" s="120" t="s">
        <v>357</v>
      </c>
      <c r="F56" s="118" t="s">
        <v>353</v>
      </c>
    </row>
    <row r="57" spans="1:6" ht="30" x14ac:dyDescent="0.25">
      <c r="A57" s="492" t="s">
        <v>693</v>
      </c>
      <c r="B57" s="495" t="s">
        <v>758</v>
      </c>
      <c r="C57" s="408" t="s">
        <v>761</v>
      </c>
      <c r="D57" s="279">
        <v>95.74</v>
      </c>
      <c r="E57" s="497">
        <f>SUM(D57:D59)/3</f>
        <v>93.976666666666674</v>
      </c>
      <c r="F57" s="363">
        <v>44862</v>
      </c>
    </row>
    <row r="58" spans="1:6" ht="43.5" customHeight="1" x14ac:dyDescent="0.25">
      <c r="A58" s="493"/>
      <c r="B58" s="495"/>
      <c r="C58" s="272" t="s">
        <v>760</v>
      </c>
      <c r="D58" s="286">
        <v>84.99</v>
      </c>
      <c r="E58" s="498"/>
      <c r="F58" s="364">
        <v>44862</v>
      </c>
    </row>
    <row r="59" spans="1:6" ht="47.25" customHeight="1" thickBot="1" x14ac:dyDescent="0.3">
      <c r="A59" s="494"/>
      <c r="B59" s="496"/>
      <c r="C59" s="334" t="s">
        <v>759</v>
      </c>
      <c r="D59" s="365">
        <v>101.2</v>
      </c>
      <c r="E59" s="499"/>
      <c r="F59" s="366">
        <v>44862</v>
      </c>
    </row>
    <row r="60" spans="1:6" ht="15.75" thickBot="1" x14ac:dyDescent="0.3"/>
    <row r="61" spans="1:6" ht="15.75" thickBot="1" x14ac:dyDescent="0.3">
      <c r="A61" s="119" t="s">
        <v>352</v>
      </c>
      <c r="B61" s="116" t="s">
        <v>342</v>
      </c>
      <c r="C61" s="117" t="s">
        <v>505</v>
      </c>
      <c r="D61" s="120" t="s">
        <v>349</v>
      </c>
      <c r="E61" s="120" t="s">
        <v>357</v>
      </c>
      <c r="F61" s="118" t="s">
        <v>353</v>
      </c>
    </row>
    <row r="62" spans="1:6" ht="25.5" x14ac:dyDescent="0.25">
      <c r="A62" s="492" t="s">
        <v>696</v>
      </c>
      <c r="B62" s="495" t="s">
        <v>695</v>
      </c>
      <c r="C62" s="277" t="s">
        <v>216</v>
      </c>
      <c r="D62" s="279">
        <v>109.9</v>
      </c>
      <c r="E62" s="497">
        <f>SUM(D62:D64)/3</f>
        <v>103.75</v>
      </c>
      <c r="F62" s="363">
        <v>44859</v>
      </c>
    </row>
    <row r="63" spans="1:6" ht="38.25" x14ac:dyDescent="0.25">
      <c r="A63" s="493"/>
      <c r="B63" s="495"/>
      <c r="C63" s="284" t="s">
        <v>217</v>
      </c>
      <c r="D63" s="286">
        <v>98.35</v>
      </c>
      <c r="E63" s="498"/>
      <c r="F63" s="364">
        <v>44859</v>
      </c>
    </row>
    <row r="64" spans="1:6" ht="39" thickBot="1" x14ac:dyDescent="0.3">
      <c r="A64" s="494"/>
      <c r="B64" s="496"/>
      <c r="C64" s="356" t="s">
        <v>218</v>
      </c>
      <c r="D64" s="365">
        <v>103</v>
      </c>
      <c r="E64" s="499"/>
      <c r="F64" s="366">
        <v>44859</v>
      </c>
    </row>
    <row r="65" spans="1:6" ht="15.75" thickBot="1" x14ac:dyDescent="0.3"/>
    <row r="66" spans="1:6" ht="15.75" thickBot="1" x14ac:dyDescent="0.3">
      <c r="A66" s="119" t="s">
        <v>352</v>
      </c>
      <c r="B66" s="116" t="s">
        <v>342</v>
      </c>
      <c r="C66" s="117" t="s">
        <v>732</v>
      </c>
      <c r="D66" s="120" t="s">
        <v>349</v>
      </c>
      <c r="E66" s="120" t="s">
        <v>357</v>
      </c>
      <c r="F66" s="118" t="s">
        <v>353</v>
      </c>
    </row>
    <row r="67" spans="1:6" x14ac:dyDescent="0.25">
      <c r="A67" s="492" t="s">
        <v>730</v>
      </c>
      <c r="B67" s="495" t="s">
        <v>731</v>
      </c>
      <c r="C67" s="277" t="s">
        <v>733</v>
      </c>
      <c r="D67" s="279">
        <v>5750</v>
      </c>
      <c r="E67" s="497">
        <f>AVERAGE(D67,D68)</f>
        <v>6526.8249999999998</v>
      </c>
      <c r="F67" s="363">
        <v>44851</v>
      </c>
    </row>
    <row r="68" spans="1:6" x14ac:dyDescent="0.25">
      <c r="A68" s="493"/>
      <c r="B68" s="495"/>
      <c r="C68" s="284" t="s">
        <v>734</v>
      </c>
      <c r="D68" s="286">
        <v>7303.65</v>
      </c>
      <c r="E68" s="498"/>
      <c r="F68" s="364">
        <v>44860</v>
      </c>
    </row>
    <row r="69" spans="1:6" ht="27" customHeight="1" thickBot="1" x14ac:dyDescent="0.3">
      <c r="A69" s="494"/>
      <c r="B69" s="496"/>
      <c r="C69" s="356"/>
      <c r="D69" s="365">
        <v>0</v>
      </c>
      <c r="E69" s="499"/>
      <c r="F69" s="366"/>
    </row>
  </sheetData>
  <mergeCells count="43">
    <mergeCell ref="A57:A59"/>
    <mergeCell ref="B57:B59"/>
    <mergeCell ref="E57:E59"/>
    <mergeCell ref="A62:A64"/>
    <mergeCell ref="B62:B64"/>
    <mergeCell ref="E62:E64"/>
    <mergeCell ref="B47:B49"/>
    <mergeCell ref="E47:E49"/>
    <mergeCell ref="A52:A54"/>
    <mergeCell ref="B52:B54"/>
    <mergeCell ref="E52:E54"/>
    <mergeCell ref="A1:F1"/>
    <mergeCell ref="A3:A5"/>
    <mergeCell ref="A8:A10"/>
    <mergeCell ref="A13:A15"/>
    <mergeCell ref="A18:A20"/>
    <mergeCell ref="E13:E15"/>
    <mergeCell ref="B13:B15"/>
    <mergeCell ref="B3:B5"/>
    <mergeCell ref="E3:E5"/>
    <mergeCell ref="E8:E10"/>
    <mergeCell ref="B8:B10"/>
    <mergeCell ref="A23:A25"/>
    <mergeCell ref="B23:B25"/>
    <mergeCell ref="E23:E25"/>
    <mergeCell ref="B18:B20"/>
    <mergeCell ref="E18:E20"/>
    <mergeCell ref="A67:A69"/>
    <mergeCell ref="B67:B69"/>
    <mergeCell ref="E67:E69"/>
    <mergeCell ref="A28:A30"/>
    <mergeCell ref="B28:B30"/>
    <mergeCell ref="E28:E30"/>
    <mergeCell ref="A33:A34"/>
    <mergeCell ref="B33:B34"/>
    <mergeCell ref="E33:E34"/>
    <mergeCell ref="A37:A39"/>
    <mergeCell ref="B37:B39"/>
    <mergeCell ref="E37:E39"/>
    <mergeCell ref="A42:A44"/>
    <mergeCell ref="B42:B44"/>
    <mergeCell ref="E42:E44"/>
    <mergeCell ref="A47:A4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80744F-B0B2-431E-A8AB-9DE521430D90}">
  <dimension ref="A1:AQ47"/>
  <sheetViews>
    <sheetView view="pageBreakPreview" zoomScale="60" zoomScaleNormal="70" workbookViewId="0">
      <selection activeCell="AE32" sqref="AE32:AH32"/>
    </sheetView>
  </sheetViews>
  <sheetFormatPr defaultRowHeight="15" x14ac:dyDescent="0.25"/>
  <cols>
    <col min="1" max="1" width="23.7109375" style="61" customWidth="1"/>
    <col min="2" max="2" width="50.140625" style="98" customWidth="1"/>
    <col min="3" max="43" width="9.140625" style="60"/>
  </cols>
  <sheetData>
    <row r="1" spans="1:42" ht="15.75" thickBot="1" x14ac:dyDescent="0.3">
      <c r="A1" s="514" t="s">
        <v>553</v>
      </c>
      <c r="B1" s="515"/>
      <c r="C1" s="515"/>
      <c r="D1" s="515"/>
      <c r="E1" s="515"/>
      <c r="F1" s="515"/>
      <c r="G1" s="515"/>
      <c r="H1" s="515"/>
      <c r="I1" s="515"/>
      <c r="J1" s="515"/>
      <c r="K1" s="515"/>
      <c r="L1" s="515"/>
      <c r="M1" s="515"/>
      <c r="N1" s="515"/>
      <c r="O1" s="515"/>
      <c r="P1" s="515"/>
      <c r="Q1" s="515"/>
      <c r="R1" s="515"/>
      <c r="S1" s="515"/>
      <c r="T1" s="515"/>
      <c r="U1" s="515"/>
      <c r="V1" s="515"/>
      <c r="W1" s="515"/>
      <c r="X1" s="515"/>
      <c r="Y1" s="515"/>
      <c r="Z1" s="515"/>
      <c r="AA1" s="515"/>
      <c r="AB1" s="515"/>
      <c r="AC1" s="515"/>
      <c r="AD1" s="515"/>
      <c r="AE1" s="515"/>
      <c r="AF1" s="515"/>
      <c r="AG1" s="515"/>
      <c r="AH1" s="515"/>
      <c r="AI1" s="515"/>
      <c r="AJ1" s="515"/>
      <c r="AK1" s="515"/>
      <c r="AL1" s="515"/>
      <c r="AM1" s="515"/>
      <c r="AN1" s="515"/>
      <c r="AO1" s="515"/>
      <c r="AP1" s="516"/>
    </row>
    <row r="2" spans="1:42" ht="15.75" thickBot="1" x14ac:dyDescent="0.3">
      <c r="A2" s="522" t="s">
        <v>548</v>
      </c>
      <c r="B2" s="532" t="s">
        <v>549</v>
      </c>
      <c r="C2" s="523" t="s">
        <v>550</v>
      </c>
      <c r="D2" s="524"/>
      <c r="E2" s="524"/>
      <c r="F2" s="524"/>
      <c r="G2" s="524"/>
      <c r="H2" s="524"/>
      <c r="I2" s="524"/>
      <c r="J2" s="524"/>
      <c r="K2" s="524"/>
      <c r="L2" s="524"/>
      <c r="M2" s="524"/>
      <c r="N2" s="524"/>
      <c r="O2" s="524"/>
      <c r="P2" s="524"/>
      <c r="Q2" s="524"/>
      <c r="R2" s="524"/>
      <c r="S2" s="524"/>
      <c r="T2" s="524"/>
      <c r="U2" s="524"/>
      <c r="V2" s="524"/>
      <c r="W2" s="524"/>
      <c r="X2" s="524"/>
      <c r="Y2" s="524"/>
      <c r="Z2" s="524"/>
      <c r="AA2" s="524"/>
      <c r="AB2" s="524"/>
      <c r="AC2" s="524"/>
      <c r="AD2" s="524"/>
      <c r="AE2" s="524"/>
      <c r="AF2" s="524"/>
      <c r="AG2" s="524"/>
      <c r="AH2" s="524"/>
      <c r="AI2" s="524"/>
      <c r="AJ2" s="524"/>
      <c r="AK2" s="524"/>
      <c r="AL2" s="524"/>
      <c r="AM2" s="524"/>
      <c r="AN2" s="524"/>
      <c r="AO2" s="524"/>
      <c r="AP2" s="525"/>
    </row>
    <row r="3" spans="1:42" ht="15.75" thickBot="1" x14ac:dyDescent="0.3">
      <c r="A3" s="523"/>
      <c r="B3" s="533"/>
      <c r="C3" s="529">
        <v>1</v>
      </c>
      <c r="D3" s="530"/>
      <c r="E3" s="530"/>
      <c r="F3" s="531"/>
      <c r="G3" s="529">
        <v>2</v>
      </c>
      <c r="H3" s="530"/>
      <c r="I3" s="530"/>
      <c r="J3" s="531"/>
      <c r="K3" s="530">
        <v>3</v>
      </c>
      <c r="L3" s="530"/>
      <c r="M3" s="530"/>
      <c r="N3" s="531"/>
      <c r="O3" s="529">
        <v>4</v>
      </c>
      <c r="P3" s="530"/>
      <c r="Q3" s="530"/>
      <c r="R3" s="531"/>
      <c r="S3" s="529">
        <v>5</v>
      </c>
      <c r="T3" s="530"/>
      <c r="U3" s="530"/>
      <c r="V3" s="531"/>
      <c r="W3" s="529">
        <v>6</v>
      </c>
      <c r="X3" s="530"/>
      <c r="Y3" s="530"/>
      <c r="Z3" s="531"/>
      <c r="AA3" s="529">
        <v>7</v>
      </c>
      <c r="AB3" s="530"/>
      <c r="AC3" s="530"/>
      <c r="AD3" s="531"/>
      <c r="AE3" s="529">
        <v>8</v>
      </c>
      <c r="AF3" s="530"/>
      <c r="AG3" s="530"/>
      <c r="AH3" s="531"/>
      <c r="AI3" s="529">
        <v>9</v>
      </c>
      <c r="AJ3" s="530"/>
      <c r="AK3" s="530"/>
      <c r="AL3" s="531"/>
      <c r="AM3" s="530">
        <v>10</v>
      </c>
      <c r="AN3" s="530"/>
      <c r="AO3" s="530"/>
      <c r="AP3" s="531"/>
    </row>
    <row r="4" spans="1:42" ht="15" customHeight="1" thickBot="1" x14ac:dyDescent="0.3">
      <c r="A4" s="526" t="s">
        <v>554</v>
      </c>
      <c r="B4" s="179" t="s">
        <v>551</v>
      </c>
      <c r="C4" s="181"/>
      <c r="D4" s="182"/>
      <c r="E4" s="182"/>
      <c r="F4" s="183"/>
      <c r="G4" s="238"/>
      <c r="H4" s="184"/>
      <c r="I4" s="184"/>
      <c r="J4" s="180"/>
      <c r="K4" s="126"/>
      <c r="L4" s="125"/>
      <c r="M4" s="125"/>
      <c r="N4" s="123"/>
      <c r="O4" s="124"/>
      <c r="P4" s="125"/>
      <c r="Q4" s="125"/>
      <c r="R4" s="123"/>
      <c r="S4" s="124"/>
      <c r="T4" s="125"/>
      <c r="U4" s="125"/>
      <c r="V4" s="123"/>
      <c r="W4" s="124"/>
      <c r="X4" s="125"/>
      <c r="Y4" s="125"/>
      <c r="Z4" s="123"/>
      <c r="AA4" s="124"/>
      <c r="AB4" s="125"/>
      <c r="AC4" s="125"/>
      <c r="AD4" s="123"/>
      <c r="AE4" s="124"/>
      <c r="AF4" s="125"/>
      <c r="AG4" s="125"/>
      <c r="AH4" s="123"/>
      <c r="AI4" s="124"/>
      <c r="AJ4" s="125"/>
      <c r="AK4" s="125"/>
      <c r="AL4" s="123"/>
      <c r="AM4" s="126"/>
      <c r="AN4" s="125"/>
      <c r="AO4" s="125"/>
      <c r="AP4" s="123"/>
    </row>
    <row r="5" spans="1:42" ht="15.75" thickBot="1" x14ac:dyDescent="0.3">
      <c r="A5" s="527"/>
      <c r="B5" s="144" t="str">
        <f>'PLANILHA ORÇAMENTÁRIA'!B12</f>
        <v>ADMINISTRAÇÃO DA OBRA</v>
      </c>
      <c r="C5" s="221"/>
      <c r="D5" s="220"/>
      <c r="E5" s="220"/>
      <c r="F5" s="222"/>
      <c r="G5" s="239"/>
      <c r="H5" s="220"/>
      <c r="I5" s="220"/>
      <c r="J5" s="222"/>
      <c r="K5" s="130"/>
      <c r="L5" s="128"/>
      <c r="M5" s="128"/>
      <c r="N5" s="129"/>
      <c r="O5" s="127"/>
      <c r="P5" s="128"/>
      <c r="Q5" s="128"/>
      <c r="R5" s="129"/>
      <c r="S5" s="127"/>
      <c r="T5" s="128"/>
      <c r="U5" s="128"/>
      <c r="V5" s="129"/>
      <c r="W5" s="127"/>
      <c r="X5" s="128"/>
      <c r="Y5" s="128"/>
      <c r="Z5" s="129"/>
      <c r="AA5" s="127"/>
      <c r="AB5" s="128"/>
      <c r="AC5" s="128"/>
      <c r="AD5" s="129"/>
      <c r="AE5" s="127"/>
      <c r="AF5" s="128"/>
      <c r="AG5" s="128"/>
      <c r="AH5" s="129"/>
      <c r="AI5" s="127"/>
      <c r="AJ5" s="128"/>
      <c r="AK5" s="128"/>
      <c r="AL5" s="129"/>
      <c r="AM5" s="130"/>
      <c r="AN5" s="128"/>
      <c r="AO5" s="128"/>
      <c r="AP5" s="129"/>
    </row>
    <row r="6" spans="1:42" ht="26.25" thickBot="1" x14ac:dyDescent="0.3">
      <c r="A6" s="527"/>
      <c r="B6" s="144" t="str">
        <f>'PLANILHA ORÇAMENTÁRIA'!B15</f>
        <v>SERVIÇOS PRELIMINARES - DEMOLIÇÕES, ESCAVAÇÕES, REATERROS, RASGOS E RETIRADAS</v>
      </c>
      <c r="C6" s="215"/>
      <c r="D6" s="216"/>
      <c r="E6" s="216"/>
      <c r="F6" s="217"/>
      <c r="G6" s="140"/>
      <c r="H6" s="218"/>
      <c r="I6" s="218"/>
      <c r="J6" s="219"/>
      <c r="K6" s="130"/>
      <c r="L6" s="128"/>
      <c r="M6" s="128"/>
      <c r="N6" s="129"/>
      <c r="O6" s="127"/>
      <c r="P6" s="128"/>
      <c r="Q6" s="128"/>
      <c r="R6" s="129"/>
      <c r="S6" s="127"/>
      <c r="T6" s="128"/>
      <c r="U6" s="128"/>
      <c r="V6" s="129"/>
      <c r="W6" s="127"/>
      <c r="X6" s="128"/>
      <c r="Y6" s="128"/>
      <c r="Z6" s="129"/>
      <c r="AA6" s="127"/>
      <c r="AB6" s="128"/>
      <c r="AC6" s="128"/>
      <c r="AD6" s="129"/>
      <c r="AE6" s="127"/>
      <c r="AF6" s="128"/>
      <c r="AG6" s="128"/>
      <c r="AH6" s="129"/>
      <c r="AI6" s="127"/>
      <c r="AJ6" s="128"/>
      <c r="AK6" s="128"/>
      <c r="AL6" s="129"/>
      <c r="AM6" s="130"/>
      <c r="AN6" s="128"/>
      <c r="AO6" s="128"/>
      <c r="AP6" s="129"/>
    </row>
    <row r="7" spans="1:42" ht="39" thickBot="1" x14ac:dyDescent="0.3">
      <c r="A7" s="527"/>
      <c r="B7" s="144" t="str">
        <f>'PLANILHA ORÇAMENTÁRIA'!B55</f>
        <v>ADEQUAÇÃO CIVIL - PISO/ALVENARIA/REVESTIMENTO/IMPERMEABILIZAÇÃO</v>
      </c>
      <c r="C7" s="192"/>
      <c r="D7" s="187"/>
      <c r="E7" s="187"/>
      <c r="F7" s="193"/>
      <c r="G7" s="187"/>
      <c r="H7" s="187"/>
      <c r="I7" s="187"/>
      <c r="J7" s="129"/>
      <c r="K7" s="130"/>
      <c r="L7" s="128"/>
      <c r="M7" s="128"/>
      <c r="N7" s="129"/>
      <c r="O7" s="127"/>
      <c r="P7" s="128"/>
      <c r="Q7" s="128"/>
      <c r="R7" s="129"/>
      <c r="S7" s="127"/>
      <c r="T7" s="128"/>
      <c r="U7" s="128"/>
      <c r="V7" s="129"/>
      <c r="W7" s="127"/>
      <c r="X7" s="128"/>
      <c r="Y7" s="128"/>
      <c r="Z7" s="129"/>
      <c r="AA7" s="127"/>
      <c r="AB7" s="128"/>
      <c r="AC7" s="128"/>
      <c r="AD7" s="129"/>
      <c r="AE7" s="127"/>
      <c r="AF7" s="128"/>
      <c r="AG7" s="128"/>
      <c r="AH7" s="129"/>
      <c r="AI7" s="127"/>
      <c r="AJ7" s="128"/>
      <c r="AK7" s="128"/>
      <c r="AL7" s="129"/>
      <c r="AM7" s="130"/>
      <c r="AN7" s="128"/>
      <c r="AO7" s="128"/>
      <c r="AP7" s="129"/>
    </row>
    <row r="8" spans="1:42" ht="15.75" thickBot="1" x14ac:dyDescent="0.3">
      <c r="A8" s="527"/>
      <c r="B8" s="197" t="str">
        <f>'PLANILHA ORÇAMENTÁRIA'!B50</f>
        <v>ADEQUAÇÃO CIVIL - FORRO</v>
      </c>
      <c r="C8" s="131"/>
      <c r="D8" s="99"/>
      <c r="E8" s="99"/>
      <c r="F8" s="321"/>
      <c r="G8" s="240"/>
      <c r="H8" s="128"/>
      <c r="I8" s="128"/>
      <c r="J8" s="129"/>
      <c r="K8" s="130"/>
      <c r="L8" s="128"/>
      <c r="M8" s="128"/>
      <c r="N8" s="129"/>
      <c r="O8" s="127"/>
      <c r="P8" s="128"/>
      <c r="Q8" s="128"/>
      <c r="R8" s="129"/>
      <c r="S8" s="127"/>
      <c r="T8" s="128"/>
      <c r="U8" s="128"/>
      <c r="V8" s="129"/>
      <c r="W8" s="127"/>
      <c r="X8" s="128"/>
      <c r="Y8" s="128"/>
      <c r="Z8" s="129"/>
      <c r="AA8" s="127"/>
      <c r="AB8" s="128"/>
      <c r="AC8" s="128"/>
      <c r="AD8" s="129"/>
      <c r="AE8" s="127"/>
      <c r="AF8" s="128"/>
      <c r="AG8" s="128"/>
      <c r="AH8" s="129"/>
      <c r="AI8" s="127"/>
      <c r="AJ8" s="128"/>
      <c r="AK8" s="128"/>
      <c r="AL8" s="129"/>
      <c r="AM8" s="130"/>
      <c r="AN8" s="128"/>
      <c r="AO8" s="128"/>
      <c r="AP8" s="129"/>
    </row>
    <row r="9" spans="1:42" ht="15.75" thickBot="1" x14ac:dyDescent="0.3">
      <c r="A9" s="527"/>
      <c r="B9" s="144" t="str">
        <f>'PLANILHA ORÇAMENTÁRIA'!B85</f>
        <v>HIDROSSANITÁRIO</v>
      </c>
      <c r="C9" s="131"/>
      <c r="D9" s="188"/>
      <c r="E9" s="188"/>
      <c r="F9" s="194"/>
      <c r="G9" s="241"/>
      <c r="H9" s="188"/>
      <c r="I9" s="188"/>
      <c r="J9" s="129"/>
      <c r="K9" s="130"/>
      <c r="L9" s="128"/>
      <c r="M9" s="128"/>
      <c r="N9" s="129"/>
      <c r="O9" s="127"/>
      <c r="P9" s="128"/>
      <c r="Q9" s="128"/>
      <c r="R9" s="129"/>
      <c r="S9" s="127"/>
      <c r="T9" s="128"/>
      <c r="U9" s="128"/>
      <c r="V9" s="129"/>
      <c r="W9" s="127"/>
      <c r="X9" s="128"/>
      <c r="Y9" s="128"/>
      <c r="Z9" s="129"/>
      <c r="AA9" s="127"/>
      <c r="AB9" s="128"/>
      <c r="AC9" s="128"/>
      <c r="AD9" s="129"/>
      <c r="AE9" s="127"/>
      <c r="AF9" s="128"/>
      <c r="AG9" s="128"/>
      <c r="AH9" s="129"/>
      <c r="AI9" s="127"/>
      <c r="AJ9" s="128"/>
      <c r="AK9" s="128"/>
      <c r="AL9" s="129"/>
      <c r="AM9" s="130"/>
      <c r="AN9" s="128"/>
      <c r="AO9" s="128"/>
      <c r="AP9" s="129"/>
    </row>
    <row r="10" spans="1:42" ht="15" customHeight="1" thickBot="1" x14ac:dyDescent="0.3">
      <c r="A10" s="527"/>
      <c r="B10" s="322" t="str">
        <f>'PLANILHA ORÇAMENTÁRIA'!B118</f>
        <v>INFRAESTRUTURA ELÉTRICA E LÓGICA</v>
      </c>
      <c r="C10" s="237"/>
      <c r="D10" s="189"/>
      <c r="E10" s="189"/>
      <c r="F10" s="195"/>
      <c r="G10" s="237"/>
      <c r="H10" s="189"/>
      <c r="I10" s="189"/>
      <c r="J10" s="195"/>
      <c r="K10" s="130"/>
      <c r="L10" s="128"/>
      <c r="M10" s="128"/>
      <c r="N10" s="129"/>
      <c r="O10" s="127"/>
      <c r="P10" s="128"/>
      <c r="Q10" s="128"/>
      <c r="R10" s="129"/>
      <c r="S10" s="127"/>
      <c r="T10" s="128"/>
      <c r="U10" s="128"/>
      <c r="V10" s="129"/>
      <c r="W10" s="127"/>
      <c r="X10" s="128"/>
      <c r="Y10" s="128"/>
      <c r="Z10" s="129"/>
      <c r="AA10" s="127"/>
      <c r="AB10" s="128"/>
      <c r="AC10" s="128"/>
      <c r="AD10" s="129"/>
      <c r="AE10" s="127"/>
      <c r="AF10" s="128"/>
      <c r="AG10" s="128"/>
      <c r="AH10" s="129"/>
      <c r="AI10" s="127"/>
      <c r="AJ10" s="128"/>
      <c r="AK10" s="128"/>
      <c r="AL10" s="129"/>
      <c r="AM10" s="130"/>
      <c r="AN10" s="128"/>
      <c r="AO10" s="128"/>
      <c r="AP10" s="129"/>
    </row>
    <row r="11" spans="1:42" ht="15" customHeight="1" thickBot="1" x14ac:dyDescent="0.3">
      <c r="A11" s="527"/>
      <c r="B11" s="144" t="str">
        <f>'PLANILHA ORÇAMENTÁRIA'!B173</f>
        <v>SPDA</v>
      </c>
      <c r="C11" s="131"/>
      <c r="D11" s="99"/>
      <c r="E11" s="246"/>
      <c r="F11" s="247"/>
      <c r="G11" s="248"/>
      <c r="H11" s="244"/>
      <c r="I11" s="244"/>
      <c r="J11" s="245"/>
      <c r="K11" s="130"/>
      <c r="L11" s="128"/>
      <c r="M11" s="128"/>
      <c r="N11" s="129"/>
      <c r="O11" s="127"/>
      <c r="P11" s="128"/>
      <c r="Q11" s="128"/>
      <c r="R11" s="129"/>
      <c r="S11" s="127"/>
      <c r="T11" s="128"/>
      <c r="U11" s="128"/>
      <c r="V11" s="129"/>
      <c r="W11" s="127"/>
      <c r="X11" s="128"/>
      <c r="Y11" s="128"/>
      <c r="Z11" s="129"/>
      <c r="AA11" s="127"/>
      <c r="AB11" s="128"/>
      <c r="AC11" s="128"/>
      <c r="AD11" s="129"/>
      <c r="AE11" s="127"/>
      <c r="AF11" s="128"/>
      <c r="AG11" s="128"/>
      <c r="AH11" s="129"/>
      <c r="AI11" s="127"/>
      <c r="AJ11" s="128"/>
      <c r="AK11" s="128"/>
      <c r="AL11" s="129"/>
      <c r="AM11" s="130"/>
      <c r="AN11" s="128"/>
      <c r="AO11" s="128"/>
      <c r="AP11" s="129"/>
    </row>
    <row r="12" spans="1:42" ht="15.75" thickBot="1" x14ac:dyDescent="0.3">
      <c r="A12" s="527"/>
      <c r="B12" s="144" t="str">
        <f>'PLANILHA ORÇAMENTÁRIA'!B186</f>
        <v>AR-CONDICIONADO</v>
      </c>
      <c r="C12" s="131"/>
      <c r="D12" s="99"/>
      <c r="E12" s="99"/>
      <c r="F12" s="185"/>
      <c r="G12" s="130"/>
      <c r="H12" s="190"/>
      <c r="I12" s="190"/>
      <c r="J12" s="196"/>
      <c r="K12" s="130"/>
      <c r="L12" s="128"/>
      <c r="M12" s="128"/>
      <c r="N12" s="129"/>
      <c r="O12" s="127"/>
      <c r="P12" s="128"/>
      <c r="Q12" s="128"/>
      <c r="R12" s="129"/>
      <c r="S12" s="127"/>
      <c r="T12" s="128"/>
      <c r="U12" s="128"/>
      <c r="V12" s="129"/>
      <c r="W12" s="127"/>
      <c r="X12" s="128"/>
      <c r="Y12" s="128"/>
      <c r="Z12" s="129"/>
      <c r="AA12" s="127"/>
      <c r="AB12" s="128"/>
      <c r="AC12" s="128"/>
      <c r="AD12" s="129"/>
      <c r="AE12" s="127"/>
      <c r="AF12" s="128"/>
      <c r="AG12" s="128"/>
      <c r="AH12" s="129"/>
      <c r="AI12" s="127"/>
      <c r="AJ12" s="128"/>
      <c r="AK12" s="128"/>
      <c r="AL12" s="129"/>
      <c r="AM12" s="130"/>
      <c r="AN12" s="128"/>
      <c r="AO12" s="128"/>
      <c r="AP12" s="129"/>
    </row>
    <row r="13" spans="1:42" ht="15.75" thickBot="1" x14ac:dyDescent="0.3">
      <c r="A13" s="527"/>
      <c r="B13" s="144" t="str">
        <f>'PLANILHA ORÇAMENTÁRIA'!B43</f>
        <v>ADEQUAÇÃO CIVIL - PORTAS/JANELAS/RODAPÉS</v>
      </c>
      <c r="C13" s="131"/>
      <c r="D13" s="99"/>
      <c r="E13" s="191"/>
      <c r="F13" s="213"/>
      <c r="G13" s="242"/>
      <c r="H13" s="191"/>
      <c r="I13" s="128"/>
      <c r="J13" s="129"/>
      <c r="K13" s="130"/>
      <c r="L13" s="128"/>
      <c r="M13" s="128"/>
      <c r="N13" s="129"/>
      <c r="O13" s="127"/>
      <c r="P13" s="128"/>
      <c r="Q13" s="128"/>
      <c r="R13" s="129"/>
      <c r="S13" s="127"/>
      <c r="T13" s="128"/>
      <c r="U13" s="128"/>
      <c r="V13" s="129"/>
      <c r="W13" s="127"/>
      <c r="X13" s="128"/>
      <c r="Y13" s="128"/>
      <c r="Z13" s="129"/>
      <c r="AA13" s="127"/>
      <c r="AB13" s="128"/>
      <c r="AC13" s="128"/>
      <c r="AD13" s="129"/>
      <c r="AE13" s="127"/>
      <c r="AF13" s="128"/>
      <c r="AG13" s="128"/>
      <c r="AH13" s="129"/>
      <c r="AI13" s="127"/>
      <c r="AJ13" s="128"/>
      <c r="AK13" s="128"/>
      <c r="AL13" s="129"/>
      <c r="AM13" s="130"/>
      <c r="AN13" s="128"/>
      <c r="AO13" s="128"/>
      <c r="AP13" s="129"/>
    </row>
    <row r="14" spans="1:42" ht="15.75" thickBot="1" x14ac:dyDescent="0.3">
      <c r="A14" s="527"/>
      <c r="B14" s="198" t="str">
        <f>'PLANILHA ORÇAMENTÁRIA'!B72</f>
        <v>ADEQUAÇÃO CIVIL - PINTURA</v>
      </c>
      <c r="C14" s="131"/>
      <c r="D14" s="99"/>
      <c r="E14" s="99"/>
      <c r="F14" s="185"/>
      <c r="G14" s="200"/>
      <c r="H14" s="204"/>
      <c r="I14" s="204"/>
      <c r="J14" s="205"/>
      <c r="K14" s="178"/>
      <c r="L14" s="176"/>
      <c r="M14" s="176"/>
      <c r="N14" s="177"/>
      <c r="O14" s="175"/>
      <c r="P14" s="176"/>
      <c r="Q14" s="176"/>
      <c r="R14" s="177"/>
      <c r="S14" s="175"/>
      <c r="T14" s="176"/>
      <c r="U14" s="176"/>
      <c r="V14" s="177"/>
      <c r="W14" s="175"/>
      <c r="X14" s="176"/>
      <c r="Y14" s="176"/>
      <c r="Z14" s="177"/>
      <c r="AA14" s="175"/>
      <c r="AB14" s="176"/>
      <c r="AC14" s="176"/>
      <c r="AD14" s="177"/>
      <c r="AE14" s="175"/>
      <c r="AF14" s="176"/>
      <c r="AG14" s="176"/>
      <c r="AH14" s="177"/>
      <c r="AI14" s="175"/>
      <c r="AJ14" s="176"/>
      <c r="AK14" s="176"/>
      <c r="AL14" s="177"/>
      <c r="AM14" s="178"/>
      <c r="AN14" s="176"/>
      <c r="AO14" s="176"/>
      <c r="AP14" s="177"/>
    </row>
    <row r="15" spans="1:42" ht="15.75" thickBot="1" x14ac:dyDescent="0.3">
      <c r="A15" s="527"/>
      <c r="B15" s="144" t="str">
        <f>'PLANILHA ORÇAMENTÁRIA'!B80</f>
        <v>ADEQUAÇÃO CIVIL - ACESSÓRIOS</v>
      </c>
      <c r="C15" s="131"/>
      <c r="D15" s="99"/>
      <c r="E15" s="99"/>
      <c r="F15" s="185"/>
      <c r="G15" s="130"/>
      <c r="H15" s="128"/>
      <c r="I15" s="128"/>
      <c r="J15" s="206"/>
      <c r="K15" s="136"/>
      <c r="L15" s="134"/>
      <c r="M15" s="134"/>
      <c r="N15" s="135"/>
      <c r="O15" s="133"/>
      <c r="P15" s="134"/>
      <c r="Q15" s="134"/>
      <c r="R15" s="135"/>
      <c r="S15" s="133"/>
      <c r="T15" s="134"/>
      <c r="U15" s="134"/>
      <c r="V15" s="135"/>
      <c r="W15" s="133"/>
      <c r="X15" s="134"/>
      <c r="Y15" s="134"/>
      <c r="Z15" s="135"/>
      <c r="AA15" s="133"/>
      <c r="AB15" s="134"/>
      <c r="AC15" s="134"/>
      <c r="AD15" s="135"/>
      <c r="AE15" s="133"/>
      <c r="AF15" s="134"/>
      <c r="AG15" s="134"/>
      <c r="AH15" s="135"/>
      <c r="AI15" s="133"/>
      <c r="AJ15" s="134"/>
      <c r="AK15" s="134"/>
      <c r="AL15" s="135"/>
      <c r="AM15" s="136"/>
      <c r="AN15" s="134"/>
      <c r="AO15" s="134"/>
      <c r="AP15" s="135"/>
    </row>
    <row r="16" spans="1:42" ht="15.75" thickBot="1" x14ac:dyDescent="0.3">
      <c r="A16" s="527"/>
      <c r="B16" s="199" t="str">
        <f>'PLANILHA ORÇAMENTÁRIA'!B180</f>
        <v>PREVENTIVO CONTRA INCÊNDIO</v>
      </c>
      <c r="C16" s="131"/>
      <c r="D16" s="99"/>
      <c r="E16" s="99"/>
      <c r="F16" s="185"/>
      <c r="G16" s="130"/>
      <c r="H16" s="128"/>
      <c r="I16" s="128"/>
      <c r="J16" s="207"/>
      <c r="K16" s="136"/>
      <c r="L16" s="134"/>
      <c r="M16" s="134"/>
      <c r="N16" s="135"/>
      <c r="O16" s="133"/>
      <c r="P16" s="134"/>
      <c r="Q16" s="134"/>
      <c r="R16" s="135"/>
      <c r="S16" s="133"/>
      <c r="T16" s="134"/>
      <c r="U16" s="134"/>
      <c r="V16" s="135"/>
      <c r="W16" s="133"/>
      <c r="X16" s="134"/>
      <c r="Y16" s="134"/>
      <c r="Z16" s="135"/>
      <c r="AA16" s="133"/>
      <c r="AB16" s="134"/>
      <c r="AC16" s="134"/>
      <c r="AD16" s="135"/>
      <c r="AE16" s="133"/>
      <c r="AF16" s="134"/>
      <c r="AG16" s="134"/>
      <c r="AH16" s="135"/>
      <c r="AI16" s="133"/>
      <c r="AJ16" s="134"/>
      <c r="AK16" s="134"/>
      <c r="AL16" s="135"/>
      <c r="AM16" s="136"/>
      <c r="AN16" s="134"/>
      <c r="AO16" s="134"/>
      <c r="AP16" s="135"/>
    </row>
    <row r="17" spans="1:43" ht="15.75" thickBot="1" x14ac:dyDescent="0.3">
      <c r="A17" s="528"/>
      <c r="B17" s="199" t="str">
        <f>'PLANILHA ORÇAMENTÁRIA'!B34</f>
        <v>ÁREA EXTERNA/JARDIM</v>
      </c>
      <c r="C17" s="132"/>
      <c r="D17" s="100"/>
      <c r="E17" s="100"/>
      <c r="F17" s="214"/>
      <c r="G17" s="243"/>
      <c r="H17" s="208"/>
      <c r="I17" s="208"/>
      <c r="J17" s="209"/>
      <c r="K17" s="136"/>
      <c r="L17" s="134"/>
      <c r="M17" s="134"/>
      <c r="N17" s="135"/>
      <c r="O17" s="133"/>
      <c r="P17" s="134"/>
      <c r="Q17" s="134"/>
      <c r="R17" s="135"/>
      <c r="S17" s="133"/>
      <c r="T17" s="134"/>
      <c r="U17" s="134"/>
      <c r="V17" s="135"/>
      <c r="W17" s="133"/>
      <c r="X17" s="134"/>
      <c r="Y17" s="134"/>
      <c r="Z17" s="135"/>
      <c r="AA17" s="133"/>
      <c r="AB17" s="134"/>
      <c r="AC17" s="134"/>
      <c r="AD17" s="135"/>
      <c r="AE17" s="133"/>
      <c r="AF17" s="134"/>
      <c r="AG17" s="134"/>
      <c r="AH17" s="135"/>
      <c r="AI17" s="133"/>
      <c r="AJ17" s="134"/>
      <c r="AK17" s="134"/>
      <c r="AL17" s="135"/>
      <c r="AM17" s="136"/>
      <c r="AN17" s="134"/>
      <c r="AO17" s="134"/>
      <c r="AP17" s="135"/>
    </row>
    <row r="18" spans="1:43" ht="15.75" thickBot="1" x14ac:dyDescent="0.3"/>
    <row r="19" spans="1:43" ht="15.75" thickBot="1" x14ac:dyDescent="0.3">
      <c r="B19" s="98" t="s">
        <v>552</v>
      </c>
      <c r="AQ19" s="137" t="s">
        <v>171</v>
      </c>
    </row>
    <row r="20" spans="1:43" x14ac:dyDescent="0.25">
      <c r="A20" s="521"/>
      <c r="B20" s="512" t="str">
        <f>B4</f>
        <v>GERAL</v>
      </c>
      <c r="C20" s="506">
        <v>4</v>
      </c>
      <c r="D20" s="507"/>
      <c r="E20" s="507"/>
      <c r="F20" s="508"/>
      <c r="G20" s="506">
        <v>4</v>
      </c>
      <c r="H20" s="507"/>
      <c r="I20" s="507"/>
      <c r="J20" s="508"/>
      <c r="K20" s="506">
        <v>0</v>
      </c>
      <c r="L20" s="507"/>
      <c r="M20" s="507"/>
      <c r="N20" s="508"/>
      <c r="O20" s="506">
        <v>0</v>
      </c>
      <c r="P20" s="507"/>
      <c r="Q20" s="507"/>
      <c r="R20" s="508"/>
      <c r="S20" s="506">
        <v>0</v>
      </c>
      <c r="T20" s="507"/>
      <c r="U20" s="507"/>
      <c r="V20" s="508"/>
      <c r="W20" s="506">
        <v>0</v>
      </c>
      <c r="X20" s="507"/>
      <c r="Y20" s="507"/>
      <c r="Z20" s="508"/>
      <c r="AA20" s="506">
        <v>0</v>
      </c>
      <c r="AB20" s="507"/>
      <c r="AC20" s="507"/>
      <c r="AD20" s="508"/>
      <c r="AE20" s="506">
        <v>0</v>
      </c>
      <c r="AF20" s="507"/>
      <c r="AG20" s="507"/>
      <c r="AH20" s="508"/>
      <c r="AI20" s="506">
        <v>0</v>
      </c>
      <c r="AJ20" s="507"/>
      <c r="AK20" s="507"/>
      <c r="AL20" s="508"/>
      <c r="AM20" s="506">
        <v>0</v>
      </c>
      <c r="AN20" s="507"/>
      <c r="AO20" s="507"/>
      <c r="AP20" s="508"/>
      <c r="AQ20" s="138">
        <f t="shared" ref="AQ20:AQ47" si="0">SUM(C20:AP20)</f>
        <v>8</v>
      </c>
    </row>
    <row r="21" spans="1:43" ht="15.75" thickBot="1" x14ac:dyDescent="0.3">
      <c r="A21" s="521"/>
      <c r="B21" s="513"/>
      <c r="C21" s="509">
        <f>C20/$AQ$20</f>
        <v>0.5</v>
      </c>
      <c r="D21" s="510"/>
      <c r="E21" s="510"/>
      <c r="F21" s="511"/>
      <c r="G21" s="509">
        <f>G20/$AQ$20</f>
        <v>0.5</v>
      </c>
      <c r="H21" s="510"/>
      <c r="I21" s="510"/>
      <c r="J21" s="511"/>
      <c r="K21" s="509">
        <f>K20/$AQ$20</f>
        <v>0</v>
      </c>
      <c r="L21" s="510"/>
      <c r="M21" s="510"/>
      <c r="N21" s="511"/>
      <c r="O21" s="509">
        <f>O20/$AQ$20</f>
        <v>0</v>
      </c>
      <c r="P21" s="510"/>
      <c r="Q21" s="510"/>
      <c r="R21" s="511"/>
      <c r="S21" s="509">
        <f>S20/$AQ$20</f>
        <v>0</v>
      </c>
      <c r="T21" s="510"/>
      <c r="U21" s="510"/>
      <c r="V21" s="511"/>
      <c r="W21" s="509">
        <f>W20/$AQ$20</f>
        <v>0</v>
      </c>
      <c r="X21" s="510"/>
      <c r="Y21" s="510"/>
      <c r="Z21" s="511"/>
      <c r="AA21" s="509">
        <f>AA20/$AQ$20</f>
        <v>0</v>
      </c>
      <c r="AB21" s="510"/>
      <c r="AC21" s="510"/>
      <c r="AD21" s="511"/>
      <c r="AE21" s="509">
        <f>AE20/$AQ$20</f>
        <v>0</v>
      </c>
      <c r="AF21" s="510"/>
      <c r="AG21" s="510"/>
      <c r="AH21" s="511"/>
      <c r="AI21" s="509">
        <f>AI20/$AQ$20</f>
        <v>0</v>
      </c>
      <c r="AJ21" s="510"/>
      <c r="AK21" s="510"/>
      <c r="AL21" s="511"/>
      <c r="AM21" s="509">
        <f>AM20/$AQ$20</f>
        <v>0</v>
      </c>
      <c r="AN21" s="510"/>
      <c r="AO21" s="510"/>
      <c r="AP21" s="511"/>
      <c r="AQ21" s="139">
        <f t="shared" si="0"/>
        <v>1</v>
      </c>
    </row>
    <row r="22" spans="1:43" x14ac:dyDescent="0.25">
      <c r="A22" s="520"/>
      <c r="B22" s="512" t="str">
        <f>B5</f>
        <v>ADMINISTRAÇÃO DA OBRA</v>
      </c>
      <c r="C22" s="506">
        <v>4</v>
      </c>
      <c r="D22" s="507"/>
      <c r="E22" s="507"/>
      <c r="F22" s="508"/>
      <c r="G22" s="506">
        <v>4</v>
      </c>
      <c r="H22" s="507"/>
      <c r="I22" s="507"/>
      <c r="J22" s="508"/>
      <c r="K22" s="506">
        <v>0</v>
      </c>
      <c r="L22" s="507"/>
      <c r="M22" s="507"/>
      <c r="N22" s="508"/>
      <c r="O22" s="506">
        <v>0</v>
      </c>
      <c r="P22" s="507"/>
      <c r="Q22" s="507"/>
      <c r="R22" s="508"/>
      <c r="S22" s="506">
        <v>0</v>
      </c>
      <c r="T22" s="507"/>
      <c r="U22" s="507"/>
      <c r="V22" s="508"/>
      <c r="W22" s="506">
        <v>0</v>
      </c>
      <c r="X22" s="507"/>
      <c r="Y22" s="507"/>
      <c r="Z22" s="508"/>
      <c r="AA22" s="506">
        <v>0</v>
      </c>
      <c r="AB22" s="507"/>
      <c r="AC22" s="507"/>
      <c r="AD22" s="508"/>
      <c r="AE22" s="506">
        <v>0</v>
      </c>
      <c r="AF22" s="507"/>
      <c r="AG22" s="507"/>
      <c r="AH22" s="508"/>
      <c r="AI22" s="506">
        <v>0</v>
      </c>
      <c r="AJ22" s="507"/>
      <c r="AK22" s="507"/>
      <c r="AL22" s="508"/>
      <c r="AM22" s="506">
        <v>0</v>
      </c>
      <c r="AN22" s="507"/>
      <c r="AO22" s="507"/>
      <c r="AP22" s="508"/>
      <c r="AQ22" s="138">
        <f t="shared" si="0"/>
        <v>8</v>
      </c>
    </row>
    <row r="23" spans="1:43" ht="15.75" thickBot="1" x14ac:dyDescent="0.3">
      <c r="A23" s="520"/>
      <c r="B23" s="513"/>
      <c r="C23" s="509">
        <v>0.41670000000000001</v>
      </c>
      <c r="D23" s="510"/>
      <c r="E23" s="510"/>
      <c r="F23" s="511"/>
      <c r="G23" s="509">
        <v>0.58330000000000004</v>
      </c>
      <c r="H23" s="510"/>
      <c r="I23" s="510"/>
      <c r="J23" s="511"/>
      <c r="K23" s="509">
        <f>K22/$AQ$22</f>
        <v>0</v>
      </c>
      <c r="L23" s="510"/>
      <c r="M23" s="510"/>
      <c r="N23" s="511"/>
      <c r="O23" s="509">
        <f>O22/$AQ$22</f>
        <v>0</v>
      </c>
      <c r="P23" s="510"/>
      <c r="Q23" s="510"/>
      <c r="R23" s="511"/>
      <c r="S23" s="509">
        <f>S22/$AQ$22</f>
        <v>0</v>
      </c>
      <c r="T23" s="510"/>
      <c r="U23" s="510"/>
      <c r="V23" s="511"/>
      <c r="W23" s="509">
        <f>W22/$AQ$22</f>
        <v>0</v>
      </c>
      <c r="X23" s="510"/>
      <c r="Y23" s="510"/>
      <c r="Z23" s="511"/>
      <c r="AA23" s="509">
        <f>AA22/$AQ$22</f>
        <v>0</v>
      </c>
      <c r="AB23" s="510"/>
      <c r="AC23" s="510"/>
      <c r="AD23" s="511"/>
      <c r="AE23" s="509">
        <f>AE22/$AQ$22</f>
        <v>0</v>
      </c>
      <c r="AF23" s="510"/>
      <c r="AG23" s="510"/>
      <c r="AH23" s="511"/>
      <c r="AI23" s="509">
        <f>AI22/$AQ$22</f>
        <v>0</v>
      </c>
      <c r="AJ23" s="510"/>
      <c r="AK23" s="510"/>
      <c r="AL23" s="511"/>
      <c r="AM23" s="509">
        <f>AM22/$AQ$22</f>
        <v>0</v>
      </c>
      <c r="AN23" s="510"/>
      <c r="AO23" s="510"/>
      <c r="AP23" s="511"/>
      <c r="AQ23" s="139">
        <f t="shared" si="0"/>
        <v>1</v>
      </c>
    </row>
    <row r="24" spans="1:43" x14ac:dyDescent="0.25">
      <c r="A24" s="140"/>
      <c r="B24" s="512" t="str">
        <f>B6</f>
        <v>SERVIÇOS PRELIMINARES - DEMOLIÇÕES, ESCAVAÇÕES, REATERROS, RASGOS E RETIRADAS</v>
      </c>
      <c r="C24" s="506">
        <v>4</v>
      </c>
      <c r="D24" s="507"/>
      <c r="E24" s="507"/>
      <c r="F24" s="508"/>
      <c r="G24" s="506">
        <v>1</v>
      </c>
      <c r="H24" s="507"/>
      <c r="I24" s="507"/>
      <c r="J24" s="508"/>
      <c r="K24" s="506">
        <v>0</v>
      </c>
      <c r="L24" s="507"/>
      <c r="M24" s="507"/>
      <c r="N24" s="508"/>
      <c r="O24" s="506">
        <v>0</v>
      </c>
      <c r="P24" s="507"/>
      <c r="Q24" s="507"/>
      <c r="R24" s="508"/>
      <c r="S24" s="506">
        <v>0</v>
      </c>
      <c r="T24" s="507"/>
      <c r="U24" s="507"/>
      <c r="V24" s="508"/>
      <c r="W24" s="506">
        <v>0</v>
      </c>
      <c r="X24" s="507"/>
      <c r="Y24" s="507"/>
      <c r="Z24" s="508"/>
      <c r="AA24" s="506">
        <v>0</v>
      </c>
      <c r="AB24" s="507"/>
      <c r="AC24" s="507"/>
      <c r="AD24" s="508"/>
      <c r="AE24" s="506">
        <v>0</v>
      </c>
      <c r="AF24" s="507"/>
      <c r="AG24" s="507"/>
      <c r="AH24" s="508"/>
      <c r="AI24" s="506">
        <v>0</v>
      </c>
      <c r="AJ24" s="507"/>
      <c r="AK24" s="507"/>
      <c r="AL24" s="508"/>
      <c r="AM24" s="506">
        <v>0</v>
      </c>
      <c r="AN24" s="507"/>
      <c r="AO24" s="507"/>
      <c r="AP24" s="508"/>
      <c r="AQ24" s="138">
        <f t="shared" si="0"/>
        <v>5</v>
      </c>
    </row>
    <row r="25" spans="1:43" ht="15.75" thickBot="1" x14ac:dyDescent="0.3">
      <c r="A25" s="140"/>
      <c r="B25" s="513"/>
      <c r="C25" s="509">
        <f>C24/$AQ$24</f>
        <v>0.8</v>
      </c>
      <c r="D25" s="510"/>
      <c r="E25" s="510"/>
      <c r="F25" s="511"/>
      <c r="G25" s="509">
        <f>G24/$AQ$24</f>
        <v>0.2</v>
      </c>
      <c r="H25" s="510"/>
      <c r="I25" s="510"/>
      <c r="J25" s="511"/>
      <c r="K25" s="509">
        <f>K24/$AQ$24</f>
        <v>0</v>
      </c>
      <c r="L25" s="510"/>
      <c r="M25" s="510"/>
      <c r="N25" s="511"/>
      <c r="O25" s="509">
        <f>O24/$AQ$24</f>
        <v>0</v>
      </c>
      <c r="P25" s="510"/>
      <c r="Q25" s="510"/>
      <c r="R25" s="511"/>
      <c r="S25" s="509">
        <f>S24/$AQ$24</f>
        <v>0</v>
      </c>
      <c r="T25" s="510"/>
      <c r="U25" s="510"/>
      <c r="V25" s="511"/>
      <c r="W25" s="509">
        <f>W24/$AQ$24</f>
        <v>0</v>
      </c>
      <c r="X25" s="510"/>
      <c r="Y25" s="510"/>
      <c r="Z25" s="511"/>
      <c r="AA25" s="509">
        <f>AA24/$AQ$24</f>
        <v>0</v>
      </c>
      <c r="AB25" s="510"/>
      <c r="AC25" s="510"/>
      <c r="AD25" s="511"/>
      <c r="AE25" s="509">
        <f>AE24/$AQ$24</f>
        <v>0</v>
      </c>
      <c r="AF25" s="510"/>
      <c r="AG25" s="510"/>
      <c r="AH25" s="511"/>
      <c r="AI25" s="509">
        <f>AI24/$AQ$24</f>
        <v>0</v>
      </c>
      <c r="AJ25" s="510"/>
      <c r="AK25" s="510"/>
      <c r="AL25" s="511"/>
      <c r="AM25" s="509">
        <f>AM24/$AQ$24</f>
        <v>0</v>
      </c>
      <c r="AN25" s="510"/>
      <c r="AO25" s="510"/>
      <c r="AP25" s="511"/>
      <c r="AQ25" s="139">
        <f t="shared" si="0"/>
        <v>1</v>
      </c>
    </row>
    <row r="26" spans="1:43" x14ac:dyDescent="0.25">
      <c r="A26" s="141"/>
      <c r="B26" s="512" t="str">
        <f>B7</f>
        <v>ADEQUAÇÃO CIVIL - PISO/ALVENARIA/REVESTIMENTO/IMPERMEABILIZAÇÃO</v>
      </c>
      <c r="C26" s="506">
        <v>4</v>
      </c>
      <c r="D26" s="507"/>
      <c r="E26" s="507"/>
      <c r="F26" s="508"/>
      <c r="G26" s="506">
        <v>3</v>
      </c>
      <c r="H26" s="507"/>
      <c r="I26" s="507"/>
      <c r="J26" s="508"/>
      <c r="K26" s="506">
        <v>0</v>
      </c>
      <c r="L26" s="507"/>
      <c r="M26" s="507"/>
      <c r="N26" s="508"/>
      <c r="O26" s="506">
        <v>0</v>
      </c>
      <c r="P26" s="507"/>
      <c r="Q26" s="507"/>
      <c r="R26" s="508"/>
      <c r="S26" s="506">
        <v>0</v>
      </c>
      <c r="T26" s="507"/>
      <c r="U26" s="507"/>
      <c r="V26" s="508"/>
      <c r="W26" s="506">
        <v>0</v>
      </c>
      <c r="X26" s="507"/>
      <c r="Y26" s="507"/>
      <c r="Z26" s="508"/>
      <c r="AA26" s="506">
        <v>0</v>
      </c>
      <c r="AB26" s="507"/>
      <c r="AC26" s="507"/>
      <c r="AD26" s="508"/>
      <c r="AE26" s="506">
        <v>0</v>
      </c>
      <c r="AF26" s="507"/>
      <c r="AG26" s="507"/>
      <c r="AH26" s="508"/>
      <c r="AI26" s="506">
        <v>0</v>
      </c>
      <c r="AJ26" s="507"/>
      <c r="AK26" s="507"/>
      <c r="AL26" s="508"/>
      <c r="AM26" s="506">
        <v>0</v>
      </c>
      <c r="AN26" s="507"/>
      <c r="AO26" s="507"/>
      <c r="AP26" s="508"/>
      <c r="AQ26" s="138">
        <f t="shared" si="0"/>
        <v>7</v>
      </c>
    </row>
    <row r="27" spans="1:43" ht="36" customHeight="1" thickBot="1" x14ac:dyDescent="0.3">
      <c r="A27" s="141"/>
      <c r="B27" s="513"/>
      <c r="C27" s="509">
        <f>C26/$AQ$26</f>
        <v>0.5714285714285714</v>
      </c>
      <c r="D27" s="510"/>
      <c r="E27" s="510"/>
      <c r="F27" s="511"/>
      <c r="G27" s="509">
        <f>G26/$AQ$26</f>
        <v>0.42857142857142855</v>
      </c>
      <c r="H27" s="510"/>
      <c r="I27" s="510"/>
      <c r="J27" s="511"/>
      <c r="K27" s="509">
        <f>K26/$AQ$26</f>
        <v>0</v>
      </c>
      <c r="L27" s="510"/>
      <c r="M27" s="510"/>
      <c r="N27" s="511"/>
      <c r="O27" s="509">
        <f>O26/$AQ$26</f>
        <v>0</v>
      </c>
      <c r="P27" s="510"/>
      <c r="Q27" s="510"/>
      <c r="R27" s="511"/>
      <c r="S27" s="509">
        <f>S26/$AQ$26</f>
        <v>0</v>
      </c>
      <c r="T27" s="510"/>
      <c r="U27" s="510"/>
      <c r="V27" s="511"/>
      <c r="W27" s="509">
        <f>W26/$AQ$26</f>
        <v>0</v>
      </c>
      <c r="X27" s="510"/>
      <c r="Y27" s="510"/>
      <c r="Z27" s="511"/>
      <c r="AA27" s="509">
        <f>AA26/$AQ$26</f>
        <v>0</v>
      </c>
      <c r="AB27" s="510"/>
      <c r="AC27" s="510"/>
      <c r="AD27" s="511"/>
      <c r="AE27" s="509">
        <f>AE26/$AQ$26</f>
        <v>0</v>
      </c>
      <c r="AF27" s="510"/>
      <c r="AG27" s="510"/>
      <c r="AH27" s="511"/>
      <c r="AI27" s="509">
        <f>AI26/$AQ$26</f>
        <v>0</v>
      </c>
      <c r="AJ27" s="510"/>
      <c r="AK27" s="510"/>
      <c r="AL27" s="511"/>
      <c r="AM27" s="509">
        <f>AM26/$AQ$26</f>
        <v>0</v>
      </c>
      <c r="AN27" s="510"/>
      <c r="AO27" s="510"/>
      <c r="AP27" s="511"/>
      <c r="AQ27" s="139">
        <f t="shared" si="0"/>
        <v>1</v>
      </c>
    </row>
    <row r="28" spans="1:43" x14ac:dyDescent="0.25">
      <c r="A28" s="142"/>
      <c r="B28" s="512" t="str">
        <f>B8</f>
        <v>ADEQUAÇÃO CIVIL - FORRO</v>
      </c>
      <c r="C28" s="506">
        <v>1</v>
      </c>
      <c r="D28" s="507"/>
      <c r="E28" s="507"/>
      <c r="F28" s="508"/>
      <c r="G28" s="506">
        <v>1</v>
      </c>
      <c r="H28" s="507"/>
      <c r="I28" s="507"/>
      <c r="J28" s="508"/>
      <c r="K28" s="506">
        <v>0</v>
      </c>
      <c r="L28" s="507"/>
      <c r="M28" s="507"/>
      <c r="N28" s="508"/>
      <c r="O28" s="506">
        <v>0</v>
      </c>
      <c r="P28" s="507"/>
      <c r="Q28" s="507"/>
      <c r="R28" s="508"/>
      <c r="S28" s="506">
        <v>0</v>
      </c>
      <c r="T28" s="507"/>
      <c r="U28" s="507"/>
      <c r="V28" s="508"/>
      <c r="W28" s="506">
        <v>0</v>
      </c>
      <c r="X28" s="507"/>
      <c r="Y28" s="507"/>
      <c r="Z28" s="508"/>
      <c r="AA28" s="506">
        <v>0</v>
      </c>
      <c r="AB28" s="507"/>
      <c r="AC28" s="507"/>
      <c r="AD28" s="508"/>
      <c r="AE28" s="506">
        <v>0</v>
      </c>
      <c r="AF28" s="507"/>
      <c r="AG28" s="507"/>
      <c r="AH28" s="508"/>
      <c r="AI28" s="506">
        <v>0</v>
      </c>
      <c r="AJ28" s="507"/>
      <c r="AK28" s="507"/>
      <c r="AL28" s="508"/>
      <c r="AM28" s="507">
        <v>0</v>
      </c>
      <c r="AN28" s="507"/>
      <c r="AO28" s="507"/>
      <c r="AP28" s="507"/>
      <c r="AQ28" s="138">
        <f t="shared" si="0"/>
        <v>2</v>
      </c>
    </row>
    <row r="29" spans="1:43" ht="15.75" thickBot="1" x14ac:dyDescent="0.3">
      <c r="A29" s="142"/>
      <c r="B29" s="513"/>
      <c r="C29" s="509">
        <f>C28/$AQ$28</f>
        <v>0.5</v>
      </c>
      <c r="D29" s="510"/>
      <c r="E29" s="510"/>
      <c r="F29" s="511"/>
      <c r="G29" s="509">
        <f>G28/$AQ$28</f>
        <v>0.5</v>
      </c>
      <c r="H29" s="510"/>
      <c r="I29" s="510"/>
      <c r="J29" s="511"/>
      <c r="K29" s="509">
        <f>K28/$AQ$28</f>
        <v>0</v>
      </c>
      <c r="L29" s="510"/>
      <c r="M29" s="510"/>
      <c r="N29" s="511"/>
      <c r="O29" s="509">
        <f>O28/$AQ$28</f>
        <v>0</v>
      </c>
      <c r="P29" s="510"/>
      <c r="Q29" s="510"/>
      <c r="R29" s="511"/>
      <c r="S29" s="509">
        <f>S28/$AQ$28</f>
        <v>0</v>
      </c>
      <c r="T29" s="510"/>
      <c r="U29" s="510"/>
      <c r="V29" s="511"/>
      <c r="W29" s="509">
        <f>W28/$AQ$28</f>
        <v>0</v>
      </c>
      <c r="X29" s="510"/>
      <c r="Y29" s="510"/>
      <c r="Z29" s="511"/>
      <c r="AA29" s="509">
        <f>AA28/$AQ$28</f>
        <v>0</v>
      </c>
      <c r="AB29" s="510"/>
      <c r="AC29" s="510"/>
      <c r="AD29" s="511"/>
      <c r="AE29" s="509">
        <f>AE28/$AQ$28</f>
        <v>0</v>
      </c>
      <c r="AF29" s="510"/>
      <c r="AG29" s="510"/>
      <c r="AH29" s="511"/>
      <c r="AI29" s="509">
        <f>AI28/$AQ$28</f>
        <v>0</v>
      </c>
      <c r="AJ29" s="510"/>
      <c r="AK29" s="510"/>
      <c r="AL29" s="511"/>
      <c r="AM29" s="509">
        <f>AM28/$AQ$28</f>
        <v>0</v>
      </c>
      <c r="AN29" s="510"/>
      <c r="AO29" s="510"/>
      <c r="AP29" s="511"/>
      <c r="AQ29" s="139">
        <f t="shared" si="0"/>
        <v>1</v>
      </c>
    </row>
    <row r="30" spans="1:43" x14ac:dyDescent="0.25">
      <c r="A30" s="143"/>
      <c r="B30" s="512" t="str">
        <f>B9</f>
        <v>HIDROSSANITÁRIO</v>
      </c>
      <c r="C30" s="506">
        <v>3</v>
      </c>
      <c r="D30" s="507"/>
      <c r="E30" s="507"/>
      <c r="F30" s="508"/>
      <c r="G30" s="506">
        <v>3</v>
      </c>
      <c r="H30" s="507"/>
      <c r="I30" s="507"/>
      <c r="J30" s="508"/>
      <c r="K30" s="506">
        <v>0</v>
      </c>
      <c r="L30" s="507"/>
      <c r="M30" s="507"/>
      <c r="N30" s="508"/>
      <c r="O30" s="506">
        <v>0</v>
      </c>
      <c r="P30" s="507"/>
      <c r="Q30" s="507"/>
      <c r="R30" s="508"/>
      <c r="S30" s="506">
        <v>0</v>
      </c>
      <c r="T30" s="507"/>
      <c r="U30" s="507"/>
      <c r="V30" s="508"/>
      <c r="W30" s="506">
        <v>0</v>
      </c>
      <c r="X30" s="507"/>
      <c r="Y30" s="507"/>
      <c r="Z30" s="508"/>
      <c r="AA30" s="506">
        <v>0</v>
      </c>
      <c r="AB30" s="507"/>
      <c r="AC30" s="507"/>
      <c r="AD30" s="508"/>
      <c r="AE30" s="506">
        <v>0</v>
      </c>
      <c r="AF30" s="507"/>
      <c r="AG30" s="507"/>
      <c r="AH30" s="508"/>
      <c r="AI30" s="506">
        <v>0</v>
      </c>
      <c r="AJ30" s="507"/>
      <c r="AK30" s="507"/>
      <c r="AL30" s="508"/>
      <c r="AM30" s="507">
        <v>0</v>
      </c>
      <c r="AN30" s="507"/>
      <c r="AO30" s="507"/>
      <c r="AP30" s="507"/>
      <c r="AQ30" s="138">
        <f t="shared" si="0"/>
        <v>6</v>
      </c>
    </row>
    <row r="31" spans="1:43" ht="15.75" thickBot="1" x14ac:dyDescent="0.3">
      <c r="A31" s="143"/>
      <c r="B31" s="513"/>
      <c r="C31" s="509">
        <f>C30/$AQ$30</f>
        <v>0.5</v>
      </c>
      <c r="D31" s="510"/>
      <c r="E31" s="510"/>
      <c r="F31" s="511"/>
      <c r="G31" s="517">
        <f>G30/$AQ$30</f>
        <v>0.5</v>
      </c>
      <c r="H31" s="518"/>
      <c r="I31" s="518"/>
      <c r="J31" s="519"/>
      <c r="K31" s="509">
        <f>K30/$AQ$30</f>
        <v>0</v>
      </c>
      <c r="L31" s="510"/>
      <c r="M31" s="510"/>
      <c r="N31" s="511"/>
      <c r="O31" s="509">
        <f>O30/$AQ$30</f>
        <v>0</v>
      </c>
      <c r="P31" s="510"/>
      <c r="Q31" s="510"/>
      <c r="R31" s="511"/>
      <c r="S31" s="509">
        <f>S30/$AQ$30</f>
        <v>0</v>
      </c>
      <c r="T31" s="510"/>
      <c r="U31" s="510"/>
      <c r="V31" s="511"/>
      <c r="W31" s="509">
        <f>W30/$AQ$30</f>
        <v>0</v>
      </c>
      <c r="X31" s="510"/>
      <c r="Y31" s="510"/>
      <c r="Z31" s="511"/>
      <c r="AA31" s="509">
        <f>AA30/$AQ$30</f>
        <v>0</v>
      </c>
      <c r="AB31" s="510"/>
      <c r="AC31" s="510"/>
      <c r="AD31" s="511"/>
      <c r="AE31" s="509">
        <f>AE30/$AQ$30</f>
        <v>0</v>
      </c>
      <c r="AF31" s="510"/>
      <c r="AG31" s="510"/>
      <c r="AH31" s="511"/>
      <c r="AI31" s="509">
        <f>AI30/$AQ$30</f>
        <v>0</v>
      </c>
      <c r="AJ31" s="510"/>
      <c r="AK31" s="510"/>
      <c r="AL31" s="511"/>
      <c r="AM31" s="509">
        <f>AM30/$AQ$30</f>
        <v>0</v>
      </c>
      <c r="AN31" s="510"/>
      <c r="AO31" s="510"/>
      <c r="AP31" s="511"/>
      <c r="AQ31" s="139">
        <f t="shared" si="0"/>
        <v>1</v>
      </c>
    </row>
    <row r="32" spans="1:43" x14ac:dyDescent="0.25">
      <c r="A32" s="174"/>
      <c r="B32" s="512" t="str">
        <f>B10</f>
        <v>INFRAESTRUTURA ELÉTRICA E LÓGICA</v>
      </c>
      <c r="C32" s="506">
        <v>4</v>
      </c>
      <c r="D32" s="507"/>
      <c r="E32" s="507"/>
      <c r="F32" s="508"/>
      <c r="G32" s="506">
        <v>4</v>
      </c>
      <c r="H32" s="507"/>
      <c r="I32" s="507"/>
      <c r="J32" s="508"/>
      <c r="K32" s="506">
        <v>0</v>
      </c>
      <c r="L32" s="507"/>
      <c r="M32" s="507"/>
      <c r="N32" s="508"/>
      <c r="O32" s="506">
        <v>0</v>
      </c>
      <c r="P32" s="507"/>
      <c r="Q32" s="507"/>
      <c r="R32" s="508"/>
      <c r="S32" s="506">
        <v>0</v>
      </c>
      <c r="T32" s="507"/>
      <c r="U32" s="507"/>
      <c r="V32" s="508"/>
      <c r="W32" s="506">
        <v>0</v>
      </c>
      <c r="X32" s="507"/>
      <c r="Y32" s="507"/>
      <c r="Z32" s="508"/>
      <c r="AA32" s="506">
        <v>0</v>
      </c>
      <c r="AB32" s="507"/>
      <c r="AC32" s="507"/>
      <c r="AD32" s="508"/>
      <c r="AE32" s="506">
        <v>0</v>
      </c>
      <c r="AF32" s="507"/>
      <c r="AG32" s="507"/>
      <c r="AH32" s="508"/>
      <c r="AI32" s="506">
        <v>0</v>
      </c>
      <c r="AJ32" s="507"/>
      <c r="AK32" s="507"/>
      <c r="AL32" s="508"/>
      <c r="AM32" s="507">
        <v>0</v>
      </c>
      <c r="AN32" s="507"/>
      <c r="AO32" s="507"/>
      <c r="AP32" s="507"/>
      <c r="AQ32" s="138">
        <f t="shared" si="0"/>
        <v>8</v>
      </c>
    </row>
    <row r="33" spans="1:43" ht="15.75" thickBot="1" x14ac:dyDescent="0.3">
      <c r="A33" s="174"/>
      <c r="B33" s="513"/>
      <c r="C33" s="509">
        <f>C32/$AQ$32</f>
        <v>0.5</v>
      </c>
      <c r="D33" s="510"/>
      <c r="E33" s="510"/>
      <c r="F33" s="511"/>
      <c r="G33" s="509">
        <f>G32/$AQ$32</f>
        <v>0.5</v>
      </c>
      <c r="H33" s="510"/>
      <c r="I33" s="510"/>
      <c r="J33" s="511"/>
      <c r="K33" s="509">
        <f>K32/$AQ$32</f>
        <v>0</v>
      </c>
      <c r="L33" s="510"/>
      <c r="M33" s="510"/>
      <c r="N33" s="511"/>
      <c r="O33" s="509">
        <f>O32/$AQ$32</f>
        <v>0</v>
      </c>
      <c r="P33" s="510"/>
      <c r="Q33" s="510"/>
      <c r="R33" s="511"/>
      <c r="S33" s="509">
        <f>S32/$AQ$32</f>
        <v>0</v>
      </c>
      <c r="T33" s="510"/>
      <c r="U33" s="510"/>
      <c r="V33" s="511"/>
      <c r="W33" s="509">
        <f>W32/$AQ$32</f>
        <v>0</v>
      </c>
      <c r="X33" s="510"/>
      <c r="Y33" s="510"/>
      <c r="Z33" s="511"/>
      <c r="AA33" s="509">
        <f>AA32/$AQ$32</f>
        <v>0</v>
      </c>
      <c r="AB33" s="510"/>
      <c r="AC33" s="510"/>
      <c r="AD33" s="511"/>
      <c r="AE33" s="509">
        <f>AE32/$AQ$32</f>
        <v>0</v>
      </c>
      <c r="AF33" s="510"/>
      <c r="AG33" s="510"/>
      <c r="AH33" s="511"/>
      <c r="AI33" s="509">
        <f>AI32/$AQ$32</f>
        <v>0</v>
      </c>
      <c r="AJ33" s="510"/>
      <c r="AK33" s="510"/>
      <c r="AL33" s="511"/>
      <c r="AM33" s="509">
        <f>AM32/$AQ$32</f>
        <v>0</v>
      </c>
      <c r="AN33" s="510"/>
      <c r="AO33" s="510"/>
      <c r="AP33" s="511"/>
      <c r="AQ33" s="139">
        <f t="shared" si="0"/>
        <v>1</v>
      </c>
    </row>
    <row r="34" spans="1:43" x14ac:dyDescent="0.25">
      <c r="A34" s="249"/>
      <c r="B34" s="512" t="str">
        <f>B11</f>
        <v>SPDA</v>
      </c>
      <c r="C34" s="506">
        <v>2</v>
      </c>
      <c r="D34" s="507"/>
      <c r="E34" s="507"/>
      <c r="F34" s="508"/>
      <c r="G34" s="506">
        <v>1</v>
      </c>
      <c r="H34" s="507"/>
      <c r="I34" s="507"/>
      <c r="J34" s="508"/>
      <c r="K34" s="506">
        <v>0</v>
      </c>
      <c r="L34" s="507"/>
      <c r="M34" s="507"/>
      <c r="N34" s="508"/>
      <c r="O34" s="506">
        <v>0</v>
      </c>
      <c r="P34" s="507"/>
      <c r="Q34" s="507"/>
      <c r="R34" s="508"/>
      <c r="S34" s="506">
        <v>0</v>
      </c>
      <c r="T34" s="507"/>
      <c r="U34" s="507"/>
      <c r="V34" s="508"/>
      <c r="W34" s="506">
        <v>0</v>
      </c>
      <c r="X34" s="507"/>
      <c r="Y34" s="507"/>
      <c r="Z34" s="508"/>
      <c r="AA34" s="506">
        <v>0</v>
      </c>
      <c r="AB34" s="507"/>
      <c r="AC34" s="507"/>
      <c r="AD34" s="508"/>
      <c r="AE34" s="506">
        <v>0</v>
      </c>
      <c r="AF34" s="507"/>
      <c r="AG34" s="507"/>
      <c r="AH34" s="508"/>
      <c r="AI34" s="506">
        <v>0</v>
      </c>
      <c r="AJ34" s="507"/>
      <c r="AK34" s="507"/>
      <c r="AL34" s="508"/>
      <c r="AM34" s="507">
        <v>0</v>
      </c>
      <c r="AN34" s="507"/>
      <c r="AO34" s="507"/>
      <c r="AP34" s="507"/>
      <c r="AQ34" s="138">
        <f t="shared" ref="AQ34:AQ35" si="1">SUM(C34:AP34)</f>
        <v>3</v>
      </c>
    </row>
    <row r="35" spans="1:43" ht="15.75" thickBot="1" x14ac:dyDescent="0.3">
      <c r="A35" s="249"/>
      <c r="B35" s="513"/>
      <c r="C35" s="509">
        <f>C34/$AQ$34</f>
        <v>0.66666666666666663</v>
      </c>
      <c r="D35" s="510"/>
      <c r="E35" s="510"/>
      <c r="F35" s="511"/>
      <c r="G35" s="509">
        <f>G34/$AQ$34</f>
        <v>0.33333333333333331</v>
      </c>
      <c r="H35" s="510"/>
      <c r="I35" s="510"/>
      <c r="J35" s="511"/>
      <c r="K35" s="509">
        <f>K34/$AQ$32</f>
        <v>0</v>
      </c>
      <c r="L35" s="510"/>
      <c r="M35" s="510"/>
      <c r="N35" s="511"/>
      <c r="O35" s="509">
        <f>O34/$AQ$32</f>
        <v>0</v>
      </c>
      <c r="P35" s="510"/>
      <c r="Q35" s="510"/>
      <c r="R35" s="511"/>
      <c r="S35" s="509">
        <f>S34/$AQ$32</f>
        <v>0</v>
      </c>
      <c r="T35" s="510"/>
      <c r="U35" s="510"/>
      <c r="V35" s="511"/>
      <c r="W35" s="509">
        <f>W34/$AQ$32</f>
        <v>0</v>
      </c>
      <c r="X35" s="510"/>
      <c r="Y35" s="510"/>
      <c r="Z35" s="511"/>
      <c r="AA35" s="509">
        <f>AA34/$AQ$32</f>
        <v>0</v>
      </c>
      <c r="AB35" s="510"/>
      <c r="AC35" s="510"/>
      <c r="AD35" s="511"/>
      <c r="AE35" s="509">
        <f>AE34/$AQ$32</f>
        <v>0</v>
      </c>
      <c r="AF35" s="510"/>
      <c r="AG35" s="510"/>
      <c r="AH35" s="511"/>
      <c r="AI35" s="509">
        <f>AI34/$AQ$32</f>
        <v>0</v>
      </c>
      <c r="AJ35" s="510"/>
      <c r="AK35" s="510"/>
      <c r="AL35" s="511"/>
      <c r="AM35" s="509">
        <f>AM34/$AQ$32</f>
        <v>0</v>
      </c>
      <c r="AN35" s="510"/>
      <c r="AO35" s="510"/>
      <c r="AP35" s="511"/>
      <c r="AQ35" s="139">
        <f t="shared" si="1"/>
        <v>1</v>
      </c>
    </row>
    <row r="36" spans="1:43" x14ac:dyDescent="0.25">
      <c r="A36" s="173"/>
      <c r="B36" s="512" t="str">
        <f>B12</f>
        <v>AR-CONDICIONADO</v>
      </c>
      <c r="C36" s="506">
        <v>0</v>
      </c>
      <c r="D36" s="507"/>
      <c r="E36" s="507"/>
      <c r="F36" s="508"/>
      <c r="G36" s="506">
        <v>3</v>
      </c>
      <c r="H36" s="507"/>
      <c r="I36" s="507"/>
      <c r="J36" s="508"/>
      <c r="K36" s="506">
        <v>0</v>
      </c>
      <c r="L36" s="507"/>
      <c r="M36" s="507"/>
      <c r="N36" s="508"/>
      <c r="O36" s="506">
        <v>0</v>
      </c>
      <c r="P36" s="507"/>
      <c r="Q36" s="507"/>
      <c r="R36" s="508"/>
      <c r="S36" s="506">
        <v>0</v>
      </c>
      <c r="T36" s="507"/>
      <c r="U36" s="507"/>
      <c r="V36" s="508"/>
      <c r="W36" s="506">
        <v>0</v>
      </c>
      <c r="X36" s="507"/>
      <c r="Y36" s="507"/>
      <c r="Z36" s="508"/>
      <c r="AA36" s="506">
        <v>0</v>
      </c>
      <c r="AB36" s="507"/>
      <c r="AC36" s="507"/>
      <c r="AD36" s="508"/>
      <c r="AE36" s="506">
        <v>0</v>
      </c>
      <c r="AF36" s="507"/>
      <c r="AG36" s="507"/>
      <c r="AH36" s="508"/>
      <c r="AI36" s="506">
        <v>0</v>
      </c>
      <c r="AJ36" s="507"/>
      <c r="AK36" s="507"/>
      <c r="AL36" s="508"/>
      <c r="AM36" s="507">
        <v>0</v>
      </c>
      <c r="AN36" s="507"/>
      <c r="AO36" s="507"/>
      <c r="AP36" s="507"/>
      <c r="AQ36" s="138">
        <f t="shared" si="0"/>
        <v>3</v>
      </c>
    </row>
    <row r="37" spans="1:43" ht="15.75" thickBot="1" x14ac:dyDescent="0.3">
      <c r="A37" s="173"/>
      <c r="B37" s="513"/>
      <c r="C37" s="509">
        <f>C36/$AQ$36</f>
        <v>0</v>
      </c>
      <c r="D37" s="510"/>
      <c r="E37" s="510"/>
      <c r="F37" s="511"/>
      <c r="G37" s="509">
        <f>G36/$AQ$36</f>
        <v>1</v>
      </c>
      <c r="H37" s="510"/>
      <c r="I37" s="510"/>
      <c r="J37" s="511"/>
      <c r="K37" s="509">
        <f>K36/$AQ$36</f>
        <v>0</v>
      </c>
      <c r="L37" s="510"/>
      <c r="M37" s="510"/>
      <c r="N37" s="511"/>
      <c r="O37" s="509">
        <f>O36/$AQ$36</f>
        <v>0</v>
      </c>
      <c r="P37" s="510"/>
      <c r="Q37" s="510"/>
      <c r="R37" s="511"/>
      <c r="S37" s="509">
        <f>S36/$AQ$36</f>
        <v>0</v>
      </c>
      <c r="T37" s="510"/>
      <c r="U37" s="510"/>
      <c r="V37" s="511"/>
      <c r="W37" s="509">
        <f>W36/$AQ$36</f>
        <v>0</v>
      </c>
      <c r="X37" s="510"/>
      <c r="Y37" s="510"/>
      <c r="Z37" s="511"/>
      <c r="AA37" s="509">
        <f>AA36/$AQ$36</f>
        <v>0</v>
      </c>
      <c r="AB37" s="510"/>
      <c r="AC37" s="510"/>
      <c r="AD37" s="511"/>
      <c r="AE37" s="509">
        <f>AE36/$AQ$36</f>
        <v>0</v>
      </c>
      <c r="AF37" s="510"/>
      <c r="AG37" s="510"/>
      <c r="AH37" s="511"/>
      <c r="AI37" s="509">
        <f>AI36/$AQ$36</f>
        <v>0</v>
      </c>
      <c r="AJ37" s="510"/>
      <c r="AK37" s="510"/>
      <c r="AL37" s="511"/>
      <c r="AM37" s="509">
        <f>AM36/$AQ$36</f>
        <v>0</v>
      </c>
      <c r="AN37" s="510"/>
      <c r="AO37" s="510"/>
      <c r="AP37" s="511"/>
      <c r="AQ37" s="139">
        <f t="shared" si="0"/>
        <v>1</v>
      </c>
    </row>
    <row r="38" spans="1:43" x14ac:dyDescent="0.25">
      <c r="A38" s="186"/>
      <c r="B38" s="512" t="str">
        <f>B13</f>
        <v>ADEQUAÇÃO CIVIL - PORTAS/JANELAS/RODAPÉS</v>
      </c>
      <c r="C38" s="506">
        <v>2</v>
      </c>
      <c r="D38" s="507"/>
      <c r="E38" s="507"/>
      <c r="F38" s="508"/>
      <c r="G38" s="506">
        <v>2</v>
      </c>
      <c r="H38" s="507"/>
      <c r="I38" s="507"/>
      <c r="J38" s="508"/>
      <c r="K38" s="506">
        <v>0</v>
      </c>
      <c r="L38" s="507"/>
      <c r="M38" s="507"/>
      <c r="N38" s="508"/>
      <c r="O38" s="506">
        <v>0</v>
      </c>
      <c r="P38" s="507"/>
      <c r="Q38" s="507"/>
      <c r="R38" s="508"/>
      <c r="S38" s="506">
        <v>0</v>
      </c>
      <c r="T38" s="507"/>
      <c r="U38" s="507"/>
      <c r="V38" s="508"/>
      <c r="W38" s="506">
        <v>0</v>
      </c>
      <c r="X38" s="507"/>
      <c r="Y38" s="507"/>
      <c r="Z38" s="508"/>
      <c r="AA38" s="506">
        <v>0</v>
      </c>
      <c r="AB38" s="507"/>
      <c r="AC38" s="507"/>
      <c r="AD38" s="508"/>
      <c r="AE38" s="506">
        <v>0</v>
      </c>
      <c r="AF38" s="507"/>
      <c r="AG38" s="507"/>
      <c r="AH38" s="508"/>
      <c r="AI38" s="506">
        <v>0</v>
      </c>
      <c r="AJ38" s="507"/>
      <c r="AK38" s="507"/>
      <c r="AL38" s="508"/>
      <c r="AM38" s="507">
        <v>0</v>
      </c>
      <c r="AN38" s="507"/>
      <c r="AO38" s="507"/>
      <c r="AP38" s="507"/>
      <c r="AQ38" s="138">
        <f t="shared" si="0"/>
        <v>4</v>
      </c>
    </row>
    <row r="39" spans="1:43" ht="15.75" thickBot="1" x14ac:dyDescent="0.3">
      <c r="A39" s="186"/>
      <c r="B39" s="513"/>
      <c r="C39" s="509">
        <f>C38/$AQ$38</f>
        <v>0.5</v>
      </c>
      <c r="D39" s="510"/>
      <c r="E39" s="510"/>
      <c r="F39" s="511"/>
      <c r="G39" s="509">
        <f>G38/$AQ$38</f>
        <v>0.5</v>
      </c>
      <c r="H39" s="510"/>
      <c r="I39" s="510"/>
      <c r="J39" s="511"/>
      <c r="K39" s="509">
        <f>K38/$AQ$38</f>
        <v>0</v>
      </c>
      <c r="L39" s="510"/>
      <c r="M39" s="510"/>
      <c r="N39" s="511"/>
      <c r="O39" s="509">
        <f>O38/$AQ$38</f>
        <v>0</v>
      </c>
      <c r="P39" s="510"/>
      <c r="Q39" s="510"/>
      <c r="R39" s="511"/>
      <c r="S39" s="509">
        <f>S38/$AQ$38</f>
        <v>0</v>
      </c>
      <c r="T39" s="510"/>
      <c r="U39" s="510"/>
      <c r="V39" s="511"/>
      <c r="W39" s="509">
        <f>W38/$AQ$38</f>
        <v>0</v>
      </c>
      <c r="X39" s="510"/>
      <c r="Y39" s="510"/>
      <c r="Z39" s="511"/>
      <c r="AA39" s="509">
        <f>AA38/$AQ$38</f>
        <v>0</v>
      </c>
      <c r="AB39" s="510"/>
      <c r="AC39" s="510"/>
      <c r="AD39" s="511"/>
      <c r="AE39" s="509">
        <f>AE38/$AQ$38</f>
        <v>0</v>
      </c>
      <c r="AF39" s="510"/>
      <c r="AG39" s="510"/>
      <c r="AH39" s="511"/>
      <c r="AI39" s="509">
        <f>AI38/$AQ$38</f>
        <v>0</v>
      </c>
      <c r="AJ39" s="510"/>
      <c r="AK39" s="510"/>
      <c r="AL39" s="511"/>
      <c r="AM39" s="509">
        <f>AM38/$AQ$38</f>
        <v>0</v>
      </c>
      <c r="AN39" s="510"/>
      <c r="AO39" s="510"/>
      <c r="AP39" s="511"/>
      <c r="AQ39" s="139">
        <f t="shared" si="0"/>
        <v>1</v>
      </c>
    </row>
    <row r="40" spans="1:43" x14ac:dyDescent="0.25">
      <c r="A40" s="200"/>
      <c r="B40" s="512" t="str">
        <f>B14</f>
        <v>ADEQUAÇÃO CIVIL - PINTURA</v>
      </c>
      <c r="C40" s="506">
        <v>0</v>
      </c>
      <c r="D40" s="507"/>
      <c r="E40" s="507"/>
      <c r="F40" s="508"/>
      <c r="G40" s="506">
        <v>4</v>
      </c>
      <c r="H40" s="507"/>
      <c r="I40" s="507"/>
      <c r="J40" s="508"/>
      <c r="K40" s="506">
        <v>0</v>
      </c>
      <c r="L40" s="507"/>
      <c r="M40" s="507"/>
      <c r="N40" s="508"/>
      <c r="O40" s="506">
        <v>0</v>
      </c>
      <c r="P40" s="507"/>
      <c r="Q40" s="507"/>
      <c r="R40" s="508"/>
      <c r="S40" s="506">
        <v>0</v>
      </c>
      <c r="T40" s="507"/>
      <c r="U40" s="507"/>
      <c r="V40" s="508"/>
      <c r="W40" s="506">
        <v>0</v>
      </c>
      <c r="X40" s="507"/>
      <c r="Y40" s="507"/>
      <c r="Z40" s="508"/>
      <c r="AA40" s="506">
        <v>0</v>
      </c>
      <c r="AB40" s="507"/>
      <c r="AC40" s="507"/>
      <c r="AD40" s="508"/>
      <c r="AE40" s="506">
        <v>0</v>
      </c>
      <c r="AF40" s="507"/>
      <c r="AG40" s="507"/>
      <c r="AH40" s="508"/>
      <c r="AI40" s="506">
        <v>0</v>
      </c>
      <c r="AJ40" s="507"/>
      <c r="AK40" s="507"/>
      <c r="AL40" s="508"/>
      <c r="AM40" s="507">
        <v>0</v>
      </c>
      <c r="AN40" s="507"/>
      <c r="AO40" s="507"/>
      <c r="AP40" s="507"/>
      <c r="AQ40" s="138">
        <f t="shared" si="0"/>
        <v>4</v>
      </c>
    </row>
    <row r="41" spans="1:43" ht="15.75" thickBot="1" x14ac:dyDescent="0.3">
      <c r="A41" s="200"/>
      <c r="B41" s="513"/>
      <c r="C41" s="509">
        <f>C40/$AQ$40</f>
        <v>0</v>
      </c>
      <c r="D41" s="510"/>
      <c r="E41" s="510"/>
      <c r="F41" s="511"/>
      <c r="G41" s="509">
        <f>G40/$AQ$40</f>
        <v>1</v>
      </c>
      <c r="H41" s="510"/>
      <c r="I41" s="510"/>
      <c r="J41" s="511"/>
      <c r="K41" s="509">
        <f>K40/$AQ$40</f>
        <v>0</v>
      </c>
      <c r="L41" s="510"/>
      <c r="M41" s="510"/>
      <c r="N41" s="511"/>
      <c r="O41" s="509">
        <f>O40/$AQ$40</f>
        <v>0</v>
      </c>
      <c r="P41" s="510"/>
      <c r="Q41" s="510"/>
      <c r="R41" s="511"/>
      <c r="S41" s="509">
        <f>S40/$AQ$40</f>
        <v>0</v>
      </c>
      <c r="T41" s="510"/>
      <c r="U41" s="510"/>
      <c r="V41" s="511"/>
      <c r="W41" s="509">
        <f>W40/$AQ$40</f>
        <v>0</v>
      </c>
      <c r="X41" s="510"/>
      <c r="Y41" s="510"/>
      <c r="Z41" s="511"/>
      <c r="AA41" s="509">
        <f>AA40/$AQ$40</f>
        <v>0</v>
      </c>
      <c r="AB41" s="510"/>
      <c r="AC41" s="510"/>
      <c r="AD41" s="511"/>
      <c r="AE41" s="509">
        <f>AE40/$AQ$40</f>
        <v>0</v>
      </c>
      <c r="AF41" s="510"/>
      <c r="AG41" s="510"/>
      <c r="AH41" s="511"/>
      <c r="AI41" s="509">
        <f>AI40/$AQ$40</f>
        <v>0</v>
      </c>
      <c r="AJ41" s="510"/>
      <c r="AK41" s="510"/>
      <c r="AL41" s="511"/>
      <c r="AM41" s="509">
        <f>AM40/$AQ$40</f>
        <v>0</v>
      </c>
      <c r="AN41" s="510"/>
      <c r="AO41" s="510"/>
      <c r="AP41" s="511"/>
      <c r="AQ41" s="139">
        <f t="shared" si="0"/>
        <v>1</v>
      </c>
    </row>
    <row r="42" spans="1:43" x14ac:dyDescent="0.25">
      <c r="A42" s="201"/>
      <c r="B42" s="512" t="str">
        <f>B15</f>
        <v>ADEQUAÇÃO CIVIL - ACESSÓRIOS</v>
      </c>
      <c r="C42" s="506">
        <v>0</v>
      </c>
      <c r="D42" s="507"/>
      <c r="E42" s="507"/>
      <c r="F42" s="508"/>
      <c r="G42" s="506">
        <v>1</v>
      </c>
      <c r="H42" s="507"/>
      <c r="I42" s="507"/>
      <c r="J42" s="508"/>
      <c r="K42" s="506">
        <v>0</v>
      </c>
      <c r="L42" s="507"/>
      <c r="M42" s="507"/>
      <c r="N42" s="508"/>
      <c r="O42" s="506">
        <v>0</v>
      </c>
      <c r="P42" s="507"/>
      <c r="Q42" s="507"/>
      <c r="R42" s="508"/>
      <c r="S42" s="506">
        <v>0</v>
      </c>
      <c r="T42" s="507"/>
      <c r="U42" s="507"/>
      <c r="V42" s="508"/>
      <c r="W42" s="506">
        <v>0</v>
      </c>
      <c r="X42" s="507"/>
      <c r="Y42" s="507"/>
      <c r="Z42" s="508"/>
      <c r="AA42" s="506">
        <v>0</v>
      </c>
      <c r="AB42" s="507"/>
      <c r="AC42" s="507"/>
      <c r="AD42" s="508"/>
      <c r="AE42" s="506">
        <v>0</v>
      </c>
      <c r="AF42" s="507"/>
      <c r="AG42" s="507"/>
      <c r="AH42" s="508"/>
      <c r="AI42" s="506">
        <v>0</v>
      </c>
      <c r="AJ42" s="507"/>
      <c r="AK42" s="507"/>
      <c r="AL42" s="508"/>
      <c r="AM42" s="507">
        <v>0</v>
      </c>
      <c r="AN42" s="507"/>
      <c r="AO42" s="507"/>
      <c r="AP42" s="507"/>
      <c r="AQ42" s="138">
        <f t="shared" si="0"/>
        <v>1</v>
      </c>
    </row>
    <row r="43" spans="1:43" ht="15.75" thickBot="1" x14ac:dyDescent="0.3">
      <c r="A43" s="201"/>
      <c r="B43" s="513"/>
      <c r="C43" s="509">
        <f>C42/$AQ$42</f>
        <v>0</v>
      </c>
      <c r="D43" s="510"/>
      <c r="E43" s="510"/>
      <c r="F43" s="511"/>
      <c r="G43" s="509">
        <f>G42/$AQ$42</f>
        <v>1</v>
      </c>
      <c r="H43" s="510"/>
      <c r="I43" s="510"/>
      <c r="J43" s="511"/>
      <c r="K43" s="509">
        <f>K42/$AQ$42</f>
        <v>0</v>
      </c>
      <c r="L43" s="510"/>
      <c r="M43" s="510"/>
      <c r="N43" s="511"/>
      <c r="O43" s="509">
        <f>O42/$AQ$42</f>
        <v>0</v>
      </c>
      <c r="P43" s="510"/>
      <c r="Q43" s="510"/>
      <c r="R43" s="511"/>
      <c r="S43" s="509">
        <f>S42/$AQ$42</f>
        <v>0</v>
      </c>
      <c r="T43" s="510"/>
      <c r="U43" s="510"/>
      <c r="V43" s="511"/>
      <c r="W43" s="509">
        <f>W42/$AQ$42</f>
        <v>0</v>
      </c>
      <c r="X43" s="510"/>
      <c r="Y43" s="510"/>
      <c r="Z43" s="511"/>
      <c r="AA43" s="509">
        <f>AA42/$AQ$42</f>
        <v>0</v>
      </c>
      <c r="AB43" s="510"/>
      <c r="AC43" s="510"/>
      <c r="AD43" s="511"/>
      <c r="AE43" s="509">
        <f>AE42/$AQ$42</f>
        <v>0</v>
      </c>
      <c r="AF43" s="510"/>
      <c r="AG43" s="510"/>
      <c r="AH43" s="511"/>
      <c r="AI43" s="509">
        <f>AI42/$AQ$42</f>
        <v>0</v>
      </c>
      <c r="AJ43" s="510"/>
      <c r="AK43" s="510"/>
      <c r="AL43" s="511"/>
      <c r="AM43" s="509">
        <f>AM42/$AQ$42</f>
        <v>0</v>
      </c>
      <c r="AN43" s="510"/>
      <c r="AO43" s="510"/>
      <c r="AP43" s="511"/>
      <c r="AQ43" s="139">
        <f t="shared" si="0"/>
        <v>1</v>
      </c>
    </row>
    <row r="44" spans="1:43" x14ac:dyDescent="0.25">
      <c r="A44" s="202"/>
      <c r="B44" s="512" t="str">
        <f>B16</f>
        <v>PREVENTIVO CONTRA INCÊNDIO</v>
      </c>
      <c r="C44" s="506">
        <v>0</v>
      </c>
      <c r="D44" s="507"/>
      <c r="E44" s="507"/>
      <c r="F44" s="508"/>
      <c r="G44" s="506">
        <v>1</v>
      </c>
      <c r="H44" s="507"/>
      <c r="I44" s="507"/>
      <c r="J44" s="508"/>
      <c r="K44" s="506">
        <v>0</v>
      </c>
      <c r="L44" s="507"/>
      <c r="M44" s="507"/>
      <c r="N44" s="508"/>
      <c r="O44" s="506">
        <v>0</v>
      </c>
      <c r="P44" s="507"/>
      <c r="Q44" s="507"/>
      <c r="R44" s="508"/>
      <c r="S44" s="506">
        <v>0</v>
      </c>
      <c r="T44" s="507"/>
      <c r="U44" s="507"/>
      <c r="V44" s="508"/>
      <c r="W44" s="506">
        <v>0</v>
      </c>
      <c r="X44" s="507"/>
      <c r="Y44" s="507"/>
      <c r="Z44" s="508"/>
      <c r="AA44" s="506">
        <v>0</v>
      </c>
      <c r="AB44" s="507"/>
      <c r="AC44" s="507"/>
      <c r="AD44" s="508"/>
      <c r="AE44" s="506">
        <v>0</v>
      </c>
      <c r="AF44" s="507"/>
      <c r="AG44" s="507"/>
      <c r="AH44" s="508"/>
      <c r="AI44" s="506">
        <v>0</v>
      </c>
      <c r="AJ44" s="507"/>
      <c r="AK44" s="507"/>
      <c r="AL44" s="508"/>
      <c r="AM44" s="507">
        <v>0</v>
      </c>
      <c r="AN44" s="507"/>
      <c r="AO44" s="507"/>
      <c r="AP44" s="507"/>
      <c r="AQ44" s="138">
        <f t="shared" si="0"/>
        <v>1</v>
      </c>
    </row>
    <row r="45" spans="1:43" ht="15.75" thickBot="1" x14ac:dyDescent="0.3">
      <c r="A45" s="202"/>
      <c r="B45" s="513"/>
      <c r="C45" s="509">
        <f>C44/$AQ$44</f>
        <v>0</v>
      </c>
      <c r="D45" s="510"/>
      <c r="E45" s="510"/>
      <c r="F45" s="511"/>
      <c r="G45" s="509">
        <f>G44/$AQ$44</f>
        <v>1</v>
      </c>
      <c r="H45" s="510"/>
      <c r="I45" s="510"/>
      <c r="J45" s="511"/>
      <c r="K45" s="509">
        <f>K44/$AQ$44</f>
        <v>0</v>
      </c>
      <c r="L45" s="510"/>
      <c r="M45" s="510"/>
      <c r="N45" s="511"/>
      <c r="O45" s="509">
        <f>O44/$AQ$44</f>
        <v>0</v>
      </c>
      <c r="P45" s="510"/>
      <c r="Q45" s="510"/>
      <c r="R45" s="511"/>
      <c r="S45" s="509">
        <f>S44/$AQ$44</f>
        <v>0</v>
      </c>
      <c r="T45" s="510"/>
      <c r="U45" s="510"/>
      <c r="V45" s="511"/>
      <c r="W45" s="509">
        <f>W44/$AQ$44</f>
        <v>0</v>
      </c>
      <c r="X45" s="510"/>
      <c r="Y45" s="510"/>
      <c r="Z45" s="511"/>
      <c r="AA45" s="509">
        <f>AA44/$AQ$44</f>
        <v>0</v>
      </c>
      <c r="AB45" s="510"/>
      <c r="AC45" s="510"/>
      <c r="AD45" s="511"/>
      <c r="AE45" s="509">
        <f>AE44/$AQ$44</f>
        <v>0</v>
      </c>
      <c r="AF45" s="510"/>
      <c r="AG45" s="510"/>
      <c r="AH45" s="511"/>
      <c r="AI45" s="509">
        <f>AI44/$AQ$44</f>
        <v>0</v>
      </c>
      <c r="AJ45" s="510"/>
      <c r="AK45" s="510"/>
      <c r="AL45" s="511"/>
      <c r="AM45" s="509">
        <f>AM44/$AQ$44</f>
        <v>0</v>
      </c>
      <c r="AN45" s="510"/>
      <c r="AO45" s="510"/>
      <c r="AP45" s="511"/>
      <c r="AQ45" s="139">
        <f t="shared" si="0"/>
        <v>1</v>
      </c>
    </row>
    <row r="46" spans="1:43" x14ac:dyDescent="0.25">
      <c r="A46" s="203"/>
      <c r="B46" s="512" t="str">
        <f>B17</f>
        <v>ÁREA EXTERNA/JARDIM</v>
      </c>
      <c r="C46" s="506">
        <v>1</v>
      </c>
      <c r="D46" s="507"/>
      <c r="E46" s="507"/>
      <c r="F46" s="508"/>
      <c r="G46" s="506">
        <v>4</v>
      </c>
      <c r="H46" s="507"/>
      <c r="I46" s="507"/>
      <c r="J46" s="508"/>
      <c r="K46" s="506">
        <v>0</v>
      </c>
      <c r="L46" s="507"/>
      <c r="M46" s="507"/>
      <c r="N46" s="508"/>
      <c r="O46" s="506">
        <v>0</v>
      </c>
      <c r="P46" s="507"/>
      <c r="Q46" s="507"/>
      <c r="R46" s="508"/>
      <c r="S46" s="506">
        <v>0</v>
      </c>
      <c r="T46" s="507"/>
      <c r="U46" s="507"/>
      <c r="V46" s="508"/>
      <c r="W46" s="506">
        <v>0</v>
      </c>
      <c r="X46" s="507"/>
      <c r="Y46" s="507"/>
      <c r="Z46" s="508"/>
      <c r="AA46" s="506">
        <v>0</v>
      </c>
      <c r="AB46" s="507"/>
      <c r="AC46" s="507"/>
      <c r="AD46" s="508"/>
      <c r="AE46" s="506">
        <v>0</v>
      </c>
      <c r="AF46" s="507"/>
      <c r="AG46" s="507"/>
      <c r="AH46" s="508"/>
      <c r="AI46" s="506">
        <v>0</v>
      </c>
      <c r="AJ46" s="507"/>
      <c r="AK46" s="507"/>
      <c r="AL46" s="508"/>
      <c r="AM46" s="507">
        <v>0</v>
      </c>
      <c r="AN46" s="507"/>
      <c r="AO46" s="507"/>
      <c r="AP46" s="507"/>
      <c r="AQ46" s="138">
        <f t="shared" si="0"/>
        <v>5</v>
      </c>
    </row>
    <row r="47" spans="1:43" ht="15.75" thickBot="1" x14ac:dyDescent="0.3">
      <c r="A47" s="203"/>
      <c r="B47" s="513"/>
      <c r="C47" s="509">
        <f>C46/$AQ$46</f>
        <v>0.2</v>
      </c>
      <c r="D47" s="510"/>
      <c r="E47" s="510"/>
      <c r="F47" s="511"/>
      <c r="G47" s="509">
        <f>G46/$AQ$46</f>
        <v>0.8</v>
      </c>
      <c r="H47" s="510"/>
      <c r="I47" s="510"/>
      <c r="J47" s="511"/>
      <c r="K47" s="509">
        <f>K46/$AQ$46</f>
        <v>0</v>
      </c>
      <c r="L47" s="510"/>
      <c r="M47" s="510"/>
      <c r="N47" s="511"/>
      <c r="O47" s="509">
        <f>O46/$AQ$46</f>
        <v>0</v>
      </c>
      <c r="P47" s="510"/>
      <c r="Q47" s="510"/>
      <c r="R47" s="511"/>
      <c r="S47" s="509">
        <f>S46/$AQ$46</f>
        <v>0</v>
      </c>
      <c r="T47" s="510"/>
      <c r="U47" s="510"/>
      <c r="V47" s="511"/>
      <c r="W47" s="509">
        <f>W46/$AQ$46</f>
        <v>0</v>
      </c>
      <c r="X47" s="510"/>
      <c r="Y47" s="510"/>
      <c r="Z47" s="511"/>
      <c r="AA47" s="509">
        <f>AA46/$AQ$46</f>
        <v>0</v>
      </c>
      <c r="AB47" s="510"/>
      <c r="AC47" s="510"/>
      <c r="AD47" s="511"/>
      <c r="AE47" s="509">
        <f>AE46/$AQ$46</f>
        <v>0</v>
      </c>
      <c r="AF47" s="510"/>
      <c r="AG47" s="510"/>
      <c r="AH47" s="511"/>
      <c r="AI47" s="509">
        <f>AI46/$AQ$46</f>
        <v>0</v>
      </c>
      <c r="AJ47" s="510"/>
      <c r="AK47" s="510"/>
      <c r="AL47" s="511"/>
      <c r="AM47" s="509">
        <f>AM46/$AQ$46</f>
        <v>0</v>
      </c>
      <c r="AN47" s="510"/>
      <c r="AO47" s="510"/>
      <c r="AP47" s="511"/>
      <c r="AQ47" s="139">
        <f t="shared" si="0"/>
        <v>1</v>
      </c>
    </row>
  </sheetData>
  <mergeCells count="311">
    <mergeCell ref="AI42:AL42"/>
    <mergeCell ref="AM42:AP42"/>
    <mergeCell ref="B44:B45"/>
    <mergeCell ref="B46:B47"/>
    <mergeCell ref="AI40:AL40"/>
    <mergeCell ref="AM40:AP40"/>
    <mergeCell ref="C41:F41"/>
    <mergeCell ref="G41:J41"/>
    <mergeCell ref="K41:N41"/>
    <mergeCell ref="O41:R41"/>
    <mergeCell ref="S41:V41"/>
    <mergeCell ref="W41:Z41"/>
    <mergeCell ref="AA41:AD41"/>
    <mergeCell ref="AE41:AH41"/>
    <mergeCell ref="AI41:AL41"/>
    <mergeCell ref="AM41:AP41"/>
    <mergeCell ref="B40:B41"/>
    <mergeCell ref="C40:F40"/>
    <mergeCell ref="G40:J40"/>
    <mergeCell ref="K40:N40"/>
    <mergeCell ref="O40:R40"/>
    <mergeCell ref="S40:V40"/>
    <mergeCell ref="W40:Z40"/>
    <mergeCell ref="AA40:AD40"/>
    <mergeCell ref="AE40:AH40"/>
    <mergeCell ref="AI47:AL47"/>
    <mergeCell ref="AM47:AP47"/>
    <mergeCell ref="C47:F47"/>
    <mergeCell ref="G47:J47"/>
    <mergeCell ref="K47:N47"/>
    <mergeCell ref="O47:R47"/>
    <mergeCell ref="S47:V47"/>
    <mergeCell ref="W47:Z47"/>
    <mergeCell ref="AA47:AD47"/>
    <mergeCell ref="AE47:AH47"/>
    <mergeCell ref="AI45:AL45"/>
    <mergeCell ref="AM45:AP45"/>
    <mergeCell ref="C46:F46"/>
    <mergeCell ref="G46:J46"/>
    <mergeCell ref="K46:N46"/>
    <mergeCell ref="O46:R46"/>
    <mergeCell ref="S46:V46"/>
    <mergeCell ref="W46:Z46"/>
    <mergeCell ref="AA46:AD46"/>
    <mergeCell ref="AE46:AH46"/>
    <mergeCell ref="AI46:AL46"/>
    <mergeCell ref="AM46:AP46"/>
    <mergeCell ref="C45:F45"/>
    <mergeCell ref="G45:J45"/>
    <mergeCell ref="K45:N45"/>
    <mergeCell ref="O45:R45"/>
    <mergeCell ref="S45:V45"/>
    <mergeCell ref="W45:Z45"/>
    <mergeCell ref="AA45:AD45"/>
    <mergeCell ref="AE45:AH45"/>
    <mergeCell ref="AI43:AL43"/>
    <mergeCell ref="AM43:AP43"/>
    <mergeCell ref="AM44:AP44"/>
    <mergeCell ref="C44:F44"/>
    <mergeCell ref="G44:J44"/>
    <mergeCell ref="K44:N44"/>
    <mergeCell ref="O44:R44"/>
    <mergeCell ref="S44:V44"/>
    <mergeCell ref="W44:Z44"/>
    <mergeCell ref="AA44:AD44"/>
    <mergeCell ref="AE44:AH44"/>
    <mergeCell ref="AI44:AL44"/>
    <mergeCell ref="C43:F43"/>
    <mergeCell ref="G43:J43"/>
    <mergeCell ref="K43:N43"/>
    <mergeCell ref="O43:R43"/>
    <mergeCell ref="S43:V43"/>
    <mergeCell ref="W43:Z43"/>
    <mergeCell ref="AA43:AD43"/>
    <mergeCell ref="AE43:AH43"/>
    <mergeCell ref="B42:B43"/>
    <mergeCell ref="C42:F42"/>
    <mergeCell ref="G42:J42"/>
    <mergeCell ref="K42:N42"/>
    <mergeCell ref="O42:R42"/>
    <mergeCell ref="S42:V42"/>
    <mergeCell ref="W42:Z42"/>
    <mergeCell ref="AA42:AD42"/>
    <mergeCell ref="AE42:AH42"/>
    <mergeCell ref="AI38:AL38"/>
    <mergeCell ref="AM38:AP38"/>
    <mergeCell ref="C39:F39"/>
    <mergeCell ref="G39:J39"/>
    <mergeCell ref="K39:N39"/>
    <mergeCell ref="O39:R39"/>
    <mergeCell ref="S39:V39"/>
    <mergeCell ref="W39:Z39"/>
    <mergeCell ref="AA39:AD39"/>
    <mergeCell ref="AE39:AH39"/>
    <mergeCell ref="AI39:AL39"/>
    <mergeCell ref="AM39:AP39"/>
    <mergeCell ref="B38:B39"/>
    <mergeCell ref="C38:F38"/>
    <mergeCell ref="G38:J38"/>
    <mergeCell ref="K38:N38"/>
    <mergeCell ref="O38:R38"/>
    <mergeCell ref="S38:V38"/>
    <mergeCell ref="W38:Z38"/>
    <mergeCell ref="AA38:AD38"/>
    <mergeCell ref="AE38:AH38"/>
    <mergeCell ref="AI36:AL36"/>
    <mergeCell ref="AM36:AP36"/>
    <mergeCell ref="C37:F37"/>
    <mergeCell ref="G37:J37"/>
    <mergeCell ref="K37:N37"/>
    <mergeCell ref="O37:R37"/>
    <mergeCell ref="S37:V37"/>
    <mergeCell ref="W37:Z37"/>
    <mergeCell ref="AA37:AD37"/>
    <mergeCell ref="AE37:AH37"/>
    <mergeCell ref="AI37:AL37"/>
    <mergeCell ref="AM37:AP37"/>
    <mergeCell ref="B36:B37"/>
    <mergeCell ref="C36:F36"/>
    <mergeCell ref="G36:J36"/>
    <mergeCell ref="K36:N36"/>
    <mergeCell ref="O36:R36"/>
    <mergeCell ref="S36:V36"/>
    <mergeCell ref="W36:Z36"/>
    <mergeCell ref="AA36:AD36"/>
    <mergeCell ref="AE36:AH36"/>
    <mergeCell ref="AE32:AH32"/>
    <mergeCell ref="AI32:AL32"/>
    <mergeCell ref="AM32:AP32"/>
    <mergeCell ref="G33:J33"/>
    <mergeCell ref="K33:N33"/>
    <mergeCell ref="O33:R33"/>
    <mergeCell ref="S33:V33"/>
    <mergeCell ref="W33:Z33"/>
    <mergeCell ref="AA33:AD33"/>
    <mergeCell ref="AE33:AH33"/>
    <mergeCell ref="AI33:AL33"/>
    <mergeCell ref="AM33:AP33"/>
    <mergeCell ref="C32:F32"/>
    <mergeCell ref="C33:F33"/>
    <mergeCell ref="B32:B33"/>
    <mergeCell ref="G32:J32"/>
    <mergeCell ref="K32:N32"/>
    <mergeCell ref="O32:R32"/>
    <mergeCell ref="S32:V32"/>
    <mergeCell ref="W32:Z32"/>
    <mergeCell ref="AA32:AD32"/>
    <mergeCell ref="C20:F20"/>
    <mergeCell ref="B20:B21"/>
    <mergeCell ref="AE3:AH3"/>
    <mergeCell ref="AI3:AL3"/>
    <mergeCell ref="AM3:AP3"/>
    <mergeCell ref="K3:N3"/>
    <mergeCell ref="O3:R3"/>
    <mergeCell ref="S3:V3"/>
    <mergeCell ref="W3:Z3"/>
    <mergeCell ref="AA3:AD3"/>
    <mergeCell ref="C3:F3"/>
    <mergeCell ref="G3:J3"/>
    <mergeCell ref="B2:B3"/>
    <mergeCell ref="AE21:AH21"/>
    <mergeCell ref="S21:V21"/>
    <mergeCell ref="A2:A3"/>
    <mergeCell ref="C2:AP2"/>
    <mergeCell ref="A4:A17"/>
    <mergeCell ref="O20:R20"/>
    <mergeCell ref="O22:R22"/>
    <mergeCell ref="O24:R24"/>
    <mergeCell ref="O26:R26"/>
    <mergeCell ref="O28:R28"/>
    <mergeCell ref="O21:R21"/>
    <mergeCell ref="O25:R25"/>
    <mergeCell ref="O27:R27"/>
    <mergeCell ref="K20:N20"/>
    <mergeCell ref="K22:N22"/>
    <mergeCell ref="K24:N24"/>
    <mergeCell ref="K26:N26"/>
    <mergeCell ref="K28:N28"/>
    <mergeCell ref="K21:N21"/>
    <mergeCell ref="K25:N25"/>
    <mergeCell ref="K27:N27"/>
    <mergeCell ref="O23:R23"/>
    <mergeCell ref="S20:V20"/>
    <mergeCell ref="S22:V22"/>
    <mergeCell ref="S24:V24"/>
    <mergeCell ref="S26:V26"/>
    <mergeCell ref="S23:V23"/>
    <mergeCell ref="S25:V25"/>
    <mergeCell ref="S27:V27"/>
    <mergeCell ref="W20:Z20"/>
    <mergeCell ref="W22:Z22"/>
    <mergeCell ref="W24:Z24"/>
    <mergeCell ref="W26:Z26"/>
    <mergeCell ref="W28:Z28"/>
    <mergeCell ref="W21:Z21"/>
    <mergeCell ref="W23:Z23"/>
    <mergeCell ref="W25:Z25"/>
    <mergeCell ref="W27:Z27"/>
    <mergeCell ref="AE23:AH23"/>
    <mergeCell ref="AE25:AH25"/>
    <mergeCell ref="AE27:AH27"/>
    <mergeCell ref="AA20:AD20"/>
    <mergeCell ref="AA22:AD22"/>
    <mergeCell ref="AA24:AD24"/>
    <mergeCell ref="AA26:AD26"/>
    <mergeCell ref="AA28:AD28"/>
    <mergeCell ref="AA21:AD21"/>
    <mergeCell ref="AA23:AD23"/>
    <mergeCell ref="AA25:AD25"/>
    <mergeCell ref="AA27:AD27"/>
    <mergeCell ref="AE20:AH20"/>
    <mergeCell ref="AE22:AH22"/>
    <mergeCell ref="AE24:AH24"/>
    <mergeCell ref="AE26:AH26"/>
    <mergeCell ref="AE28:AH28"/>
    <mergeCell ref="AI23:AL23"/>
    <mergeCell ref="AI25:AL25"/>
    <mergeCell ref="AI27:AL27"/>
    <mergeCell ref="AM20:AP20"/>
    <mergeCell ref="AM24:AP24"/>
    <mergeCell ref="AM22:AP22"/>
    <mergeCell ref="AM26:AP26"/>
    <mergeCell ref="AM28:AP28"/>
    <mergeCell ref="AM21:AP21"/>
    <mergeCell ref="AM23:AP23"/>
    <mergeCell ref="AM25:AP25"/>
    <mergeCell ref="AM27:AP27"/>
    <mergeCell ref="AM30:AP30"/>
    <mergeCell ref="B30:B31"/>
    <mergeCell ref="A22:A23"/>
    <mergeCell ref="A20:A21"/>
    <mergeCell ref="B24:B25"/>
    <mergeCell ref="C25:F25"/>
    <mergeCell ref="G25:J25"/>
    <mergeCell ref="B22:B23"/>
    <mergeCell ref="C23:F23"/>
    <mergeCell ref="G23:J23"/>
    <mergeCell ref="K23:N23"/>
    <mergeCell ref="C22:F22"/>
    <mergeCell ref="C24:F24"/>
    <mergeCell ref="G20:J20"/>
    <mergeCell ref="G22:J22"/>
    <mergeCell ref="G24:J24"/>
    <mergeCell ref="C21:F21"/>
    <mergeCell ref="G21:J21"/>
    <mergeCell ref="AI20:AL20"/>
    <mergeCell ref="AI22:AL22"/>
    <mergeCell ref="AI24:AL24"/>
    <mergeCell ref="AI26:AL26"/>
    <mergeCell ref="AI28:AL28"/>
    <mergeCell ref="AI21:AL21"/>
    <mergeCell ref="AA29:AD29"/>
    <mergeCell ref="W29:Z29"/>
    <mergeCell ref="S29:V29"/>
    <mergeCell ref="B28:B29"/>
    <mergeCell ref="C29:F29"/>
    <mergeCell ref="G29:J29"/>
    <mergeCell ref="K29:N29"/>
    <mergeCell ref="O29:R29"/>
    <mergeCell ref="C26:F26"/>
    <mergeCell ref="C28:F28"/>
    <mergeCell ref="G26:J26"/>
    <mergeCell ref="G28:J28"/>
    <mergeCell ref="C27:F27"/>
    <mergeCell ref="G27:J27"/>
    <mergeCell ref="S28:V28"/>
    <mergeCell ref="A1:AP1"/>
    <mergeCell ref="AM31:AP31"/>
    <mergeCell ref="S30:V30"/>
    <mergeCell ref="W30:Z30"/>
    <mergeCell ref="AA30:AD30"/>
    <mergeCell ref="AE30:AH30"/>
    <mergeCell ref="AI30:AL30"/>
    <mergeCell ref="C31:F31"/>
    <mergeCell ref="G31:J31"/>
    <mergeCell ref="K31:N31"/>
    <mergeCell ref="O31:R31"/>
    <mergeCell ref="S31:V31"/>
    <mergeCell ref="W31:Z31"/>
    <mergeCell ref="AA31:AD31"/>
    <mergeCell ref="AE31:AH31"/>
    <mergeCell ref="AI31:AL31"/>
    <mergeCell ref="C30:F30"/>
    <mergeCell ref="G30:J30"/>
    <mergeCell ref="K30:N30"/>
    <mergeCell ref="O30:R30"/>
    <mergeCell ref="B26:B27"/>
    <mergeCell ref="AM29:AP29"/>
    <mergeCell ref="AI29:AL29"/>
    <mergeCell ref="AE29:AH29"/>
    <mergeCell ref="B34:B35"/>
    <mergeCell ref="C34:F34"/>
    <mergeCell ref="G34:J34"/>
    <mergeCell ref="K34:N34"/>
    <mergeCell ref="O34:R34"/>
    <mergeCell ref="S34:V34"/>
    <mergeCell ref="W34:Z34"/>
    <mergeCell ref="AA34:AD34"/>
    <mergeCell ref="AE34:AH34"/>
    <mergeCell ref="AI34:AL34"/>
    <mergeCell ref="AM34:AP34"/>
    <mergeCell ref="C35:F35"/>
    <mergeCell ref="G35:J35"/>
    <mergeCell ref="K35:N35"/>
    <mergeCell ref="O35:R35"/>
    <mergeCell ref="S35:V35"/>
    <mergeCell ref="W35:Z35"/>
    <mergeCell ref="AA35:AD35"/>
    <mergeCell ref="AE35:AH35"/>
    <mergeCell ref="AI35:AL35"/>
    <mergeCell ref="AM35:AP35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3D6F4-BDA1-49AE-B14B-90D458DFBF63}">
  <dimension ref="A1:T50"/>
  <sheetViews>
    <sheetView view="pageBreakPreview" topLeftCell="A23" zoomScaleNormal="100" zoomScaleSheetLayoutView="100" workbookViewId="0">
      <selection activeCell="F48" sqref="F48"/>
    </sheetView>
  </sheetViews>
  <sheetFormatPr defaultRowHeight="15" x14ac:dyDescent="0.25"/>
  <cols>
    <col min="1" max="1" width="5.28515625" style="60" bestFit="1" customWidth="1"/>
    <col min="2" max="2" width="27.28515625" style="60" customWidth="1"/>
    <col min="3" max="3" width="10.5703125" style="60" bestFit="1" customWidth="1"/>
    <col min="4" max="4" width="10.42578125" style="60" bestFit="1" customWidth="1"/>
    <col min="5" max="5" width="9.140625" style="60"/>
    <col min="6" max="6" width="10.28515625" style="60" bestFit="1" customWidth="1"/>
    <col min="7" max="15" width="11.28515625" style="60" bestFit="1" customWidth="1"/>
    <col min="16" max="16" width="9.140625" style="60"/>
    <col min="17" max="17" width="12.5703125" style="60" bestFit="1" customWidth="1"/>
  </cols>
  <sheetData>
    <row r="1" spans="1:20" ht="15.75" thickBot="1" x14ac:dyDescent="0.3">
      <c r="A1" s="544" t="s">
        <v>547</v>
      </c>
      <c r="B1" s="545"/>
      <c r="C1" s="545"/>
      <c r="D1" s="545"/>
      <c r="E1" s="545"/>
      <c r="F1" s="545"/>
      <c r="G1" s="545"/>
      <c r="H1" s="545"/>
      <c r="I1" s="545"/>
      <c r="J1" s="545"/>
      <c r="K1" s="545"/>
      <c r="L1" s="545"/>
      <c r="M1" s="545"/>
      <c r="N1" s="545"/>
      <c r="O1" s="545"/>
      <c r="P1" s="545"/>
      <c r="Q1" s="546"/>
    </row>
    <row r="2" spans="1:20" ht="15.75" thickBot="1" x14ac:dyDescent="0.3">
      <c r="A2" s="166" t="s">
        <v>0</v>
      </c>
      <c r="B2" s="151" t="s">
        <v>1</v>
      </c>
      <c r="C2" s="151" t="s">
        <v>530</v>
      </c>
      <c r="D2" s="167" t="s">
        <v>531</v>
      </c>
      <c r="E2" s="168"/>
      <c r="F2" s="169" t="s">
        <v>532</v>
      </c>
      <c r="G2" s="170" t="s">
        <v>533</v>
      </c>
      <c r="H2" s="170" t="s">
        <v>534</v>
      </c>
      <c r="I2" s="170" t="s">
        <v>535</v>
      </c>
      <c r="J2" s="170" t="s">
        <v>536</v>
      </c>
      <c r="K2" s="170" t="s">
        <v>537</v>
      </c>
      <c r="L2" s="170" t="s">
        <v>538</v>
      </c>
      <c r="M2" s="170" t="s">
        <v>539</v>
      </c>
      <c r="N2" s="170" t="s">
        <v>540</v>
      </c>
      <c r="O2" s="171" t="s">
        <v>541</v>
      </c>
      <c r="P2" s="168"/>
      <c r="Q2" s="172" t="s">
        <v>542</v>
      </c>
    </row>
    <row r="3" spans="1:20" ht="15.75" thickBot="1" x14ac:dyDescent="0.3"/>
    <row r="4" spans="1:20" x14ac:dyDescent="0.25">
      <c r="A4" s="534">
        <v>1</v>
      </c>
      <c r="B4" s="535" t="s">
        <v>613</v>
      </c>
      <c r="C4" s="538">
        <f>'PLANILHA ORÇAMENTÁRIA'!C196</f>
        <v>2541.8391200000001</v>
      </c>
      <c r="D4" s="541">
        <f>C4/$C$47</f>
        <v>1.107002743871454E-2</v>
      </c>
      <c r="F4" s="145"/>
      <c r="G4" s="145"/>
      <c r="H4" s="145"/>
      <c r="I4" s="145"/>
      <c r="J4" s="145"/>
      <c r="K4" s="145"/>
      <c r="L4" s="145"/>
      <c r="M4" s="145"/>
      <c r="N4" s="145"/>
      <c r="O4" s="146"/>
      <c r="Q4" s="147"/>
      <c r="T4" s="212"/>
    </row>
    <row r="5" spans="1:20" x14ac:dyDescent="0.25">
      <c r="A5" s="487"/>
      <c r="B5" s="536"/>
      <c r="C5" s="549"/>
      <c r="D5" s="542"/>
      <c r="F5" s="148">
        <v>0.41670000000000001</v>
      </c>
      <c r="G5" s="148">
        <v>0.58330000000000004</v>
      </c>
      <c r="H5" s="148">
        <v>0</v>
      </c>
      <c r="I5" s="148">
        <v>0</v>
      </c>
      <c r="J5" s="148">
        <v>0</v>
      </c>
      <c r="K5" s="148">
        <v>0</v>
      </c>
      <c r="L5" s="148">
        <v>0</v>
      </c>
      <c r="M5" s="148">
        <v>0</v>
      </c>
      <c r="N5" s="148">
        <v>0</v>
      </c>
      <c r="O5" s="149">
        <v>0</v>
      </c>
      <c r="Q5" s="150">
        <f>SUM(F5:O5)</f>
        <v>1</v>
      </c>
      <c r="T5" s="212"/>
    </row>
    <row r="6" spans="1:20" ht="15.75" thickBot="1" x14ac:dyDescent="0.3">
      <c r="A6" s="488"/>
      <c r="B6" s="537"/>
      <c r="C6" s="550"/>
      <c r="D6" s="543"/>
      <c r="F6" s="152">
        <f>$C$4*F5</f>
        <v>1059.184361304</v>
      </c>
      <c r="G6" s="152">
        <f>$C$4*G5</f>
        <v>1482.654758696</v>
      </c>
      <c r="H6" s="152">
        <f t="shared" ref="H6:O6" si="0">$C$5*H5</f>
        <v>0</v>
      </c>
      <c r="I6" s="152">
        <f t="shared" si="0"/>
        <v>0</v>
      </c>
      <c r="J6" s="152">
        <f t="shared" si="0"/>
        <v>0</v>
      </c>
      <c r="K6" s="152">
        <f t="shared" si="0"/>
        <v>0</v>
      </c>
      <c r="L6" s="152">
        <f t="shared" si="0"/>
        <v>0</v>
      </c>
      <c r="M6" s="152">
        <f t="shared" si="0"/>
        <v>0</v>
      </c>
      <c r="N6" s="152">
        <f t="shared" si="0"/>
        <v>0</v>
      </c>
      <c r="O6" s="152">
        <f t="shared" si="0"/>
        <v>0</v>
      </c>
      <c r="Q6" s="153">
        <f>SUM(F6:O6)</f>
        <v>2541.8391200000001</v>
      </c>
      <c r="T6" s="212"/>
    </row>
    <row r="7" spans="1:20" x14ac:dyDescent="0.25">
      <c r="A7" s="534">
        <v>2</v>
      </c>
      <c r="B7" s="535" t="s">
        <v>573</v>
      </c>
      <c r="C7" s="538">
        <f>'PLANILHA ORÇAMENTÁRIA'!C197</f>
        <v>10392.559683359999</v>
      </c>
      <c r="D7" s="541">
        <f>C7/$C$47</f>
        <v>4.5260897886123364E-2</v>
      </c>
      <c r="F7" s="154"/>
      <c r="G7" s="154"/>
      <c r="H7" s="154"/>
      <c r="I7" s="154"/>
      <c r="J7" s="154"/>
      <c r="K7" s="154"/>
      <c r="L7" s="154"/>
      <c r="M7" s="154"/>
      <c r="N7" s="154"/>
      <c r="O7" s="154"/>
      <c r="Q7" s="155"/>
      <c r="T7" s="212"/>
    </row>
    <row r="8" spans="1:20" x14ac:dyDescent="0.25">
      <c r="A8" s="487"/>
      <c r="B8" s="536"/>
      <c r="C8" s="539"/>
      <c r="D8" s="542"/>
      <c r="F8" s="148">
        <v>0.8</v>
      </c>
      <c r="G8" s="148">
        <v>0.2</v>
      </c>
      <c r="H8" s="148">
        <v>0</v>
      </c>
      <c r="I8" s="148">
        <v>0</v>
      </c>
      <c r="J8" s="148">
        <v>0</v>
      </c>
      <c r="K8" s="148">
        <v>0</v>
      </c>
      <c r="L8" s="148">
        <v>0</v>
      </c>
      <c r="M8" s="148">
        <v>0</v>
      </c>
      <c r="N8" s="148">
        <v>0</v>
      </c>
      <c r="O8" s="149">
        <v>0</v>
      </c>
      <c r="Q8" s="150">
        <f>SUM(F8:O8)</f>
        <v>1</v>
      </c>
      <c r="T8" s="212"/>
    </row>
    <row r="9" spans="1:20" ht="24" customHeight="1" thickBot="1" x14ac:dyDescent="0.3">
      <c r="A9" s="488"/>
      <c r="B9" s="537"/>
      <c r="C9" s="540"/>
      <c r="D9" s="543"/>
      <c r="F9" s="152">
        <f t="shared" ref="F9:O9" si="1">$C$7*F8</f>
        <v>8314.0477466880002</v>
      </c>
      <c r="G9" s="152">
        <f t="shared" si="1"/>
        <v>2078.511936672</v>
      </c>
      <c r="H9" s="152">
        <f t="shared" si="1"/>
        <v>0</v>
      </c>
      <c r="I9" s="152">
        <f t="shared" si="1"/>
        <v>0</v>
      </c>
      <c r="J9" s="152">
        <f t="shared" si="1"/>
        <v>0</v>
      </c>
      <c r="K9" s="152">
        <f t="shared" si="1"/>
        <v>0</v>
      </c>
      <c r="L9" s="152">
        <f t="shared" si="1"/>
        <v>0</v>
      </c>
      <c r="M9" s="152">
        <f t="shared" si="1"/>
        <v>0</v>
      </c>
      <c r="N9" s="152">
        <f t="shared" si="1"/>
        <v>0</v>
      </c>
      <c r="O9" s="152">
        <f t="shared" si="1"/>
        <v>0</v>
      </c>
      <c r="P9" s="156"/>
      <c r="Q9" s="153">
        <f>SUM(F9:O9)</f>
        <v>10392.559683359999</v>
      </c>
      <c r="T9" s="212"/>
    </row>
    <row r="10" spans="1:20" x14ac:dyDescent="0.25">
      <c r="A10" s="534">
        <v>3</v>
      </c>
      <c r="B10" s="535" t="s">
        <v>563</v>
      </c>
      <c r="C10" s="538">
        <f>'PLANILHA ORÇAMENTÁRIA'!C201</f>
        <v>38305.023765599995</v>
      </c>
      <c r="D10" s="541">
        <f>C10/$C$47</f>
        <v>0.16682317176934647</v>
      </c>
      <c r="F10" s="154"/>
      <c r="G10" s="154"/>
      <c r="H10" s="154"/>
      <c r="I10" s="154"/>
      <c r="J10" s="154"/>
      <c r="K10" s="154"/>
      <c r="L10" s="154"/>
      <c r="M10" s="154"/>
      <c r="N10" s="154"/>
      <c r="O10" s="157"/>
      <c r="Q10" s="155"/>
      <c r="T10" s="212"/>
    </row>
    <row r="11" spans="1:20" x14ac:dyDescent="0.25">
      <c r="A11" s="487"/>
      <c r="B11" s="536"/>
      <c r="C11" s="539"/>
      <c r="D11" s="542"/>
      <c r="F11" s="148">
        <v>0.57099999999999995</v>
      </c>
      <c r="G11" s="148">
        <v>0.42899999999999999</v>
      </c>
      <c r="H11" s="148">
        <v>0</v>
      </c>
      <c r="I11" s="148">
        <v>0</v>
      </c>
      <c r="J11" s="148">
        <v>0</v>
      </c>
      <c r="K11" s="148">
        <v>0</v>
      </c>
      <c r="L11" s="148">
        <v>0</v>
      </c>
      <c r="M11" s="148">
        <v>0</v>
      </c>
      <c r="N11" s="148">
        <v>0</v>
      </c>
      <c r="O11" s="149">
        <v>0</v>
      </c>
      <c r="Q11" s="150">
        <f>SUM(F11:O11)</f>
        <v>1</v>
      </c>
      <c r="T11" s="212"/>
    </row>
    <row r="12" spans="1:20" ht="15.75" thickBot="1" x14ac:dyDescent="0.3">
      <c r="A12" s="488"/>
      <c r="B12" s="537"/>
      <c r="C12" s="540"/>
      <c r="D12" s="543"/>
      <c r="F12" s="152">
        <f t="shared" ref="F12:O12" si="2">$C$10*F11</f>
        <v>21872.168570157595</v>
      </c>
      <c r="G12" s="152">
        <f t="shared" si="2"/>
        <v>16432.855195442397</v>
      </c>
      <c r="H12" s="152">
        <f t="shared" si="2"/>
        <v>0</v>
      </c>
      <c r="I12" s="152">
        <f t="shared" si="2"/>
        <v>0</v>
      </c>
      <c r="J12" s="152">
        <f t="shared" si="2"/>
        <v>0</v>
      </c>
      <c r="K12" s="152">
        <f t="shared" si="2"/>
        <v>0</v>
      </c>
      <c r="L12" s="152">
        <f t="shared" si="2"/>
        <v>0</v>
      </c>
      <c r="M12" s="152">
        <f t="shared" si="2"/>
        <v>0</v>
      </c>
      <c r="N12" s="152">
        <f t="shared" si="2"/>
        <v>0</v>
      </c>
      <c r="O12" s="152">
        <f t="shared" si="2"/>
        <v>0</v>
      </c>
      <c r="Q12" s="153">
        <f>SUM(F12:O12)</f>
        <v>38305.023765599995</v>
      </c>
      <c r="T12" s="212"/>
    </row>
    <row r="13" spans="1:20" x14ac:dyDescent="0.25">
      <c r="A13" s="534">
        <v>4</v>
      </c>
      <c r="B13" s="535" t="s">
        <v>556</v>
      </c>
      <c r="C13" s="538">
        <f>'PLANILHA ORÇAMENTÁRIA'!C200</f>
        <v>16233.896400000001</v>
      </c>
      <c r="D13" s="541">
        <f>C13/$C$47</f>
        <v>7.0700650238339713E-2</v>
      </c>
      <c r="F13" s="154"/>
      <c r="G13" s="154"/>
      <c r="H13" s="154"/>
      <c r="I13" s="154"/>
      <c r="J13" s="154"/>
      <c r="K13" s="154"/>
      <c r="L13" s="154"/>
      <c r="M13" s="154"/>
      <c r="N13" s="154"/>
      <c r="O13" s="157"/>
      <c r="Q13" s="155"/>
      <c r="T13" s="212"/>
    </row>
    <row r="14" spans="1:20" x14ac:dyDescent="0.25">
      <c r="A14" s="487"/>
      <c r="B14" s="536"/>
      <c r="C14" s="539"/>
      <c r="D14" s="542"/>
      <c r="F14" s="148">
        <v>0.5</v>
      </c>
      <c r="G14" s="148">
        <v>0.5</v>
      </c>
      <c r="H14" s="148">
        <v>0</v>
      </c>
      <c r="I14" s="148">
        <v>0</v>
      </c>
      <c r="J14" s="148">
        <v>0</v>
      </c>
      <c r="K14" s="148">
        <v>0</v>
      </c>
      <c r="L14" s="148">
        <v>0</v>
      </c>
      <c r="M14" s="148">
        <v>0</v>
      </c>
      <c r="N14" s="148">
        <v>0</v>
      </c>
      <c r="O14" s="149">
        <v>0</v>
      </c>
      <c r="Q14" s="150">
        <f>SUM(F14:O14)</f>
        <v>1</v>
      </c>
      <c r="T14" s="212"/>
    </row>
    <row r="15" spans="1:20" ht="15.75" thickBot="1" x14ac:dyDescent="0.3">
      <c r="A15" s="488"/>
      <c r="B15" s="537"/>
      <c r="C15" s="540"/>
      <c r="D15" s="543"/>
      <c r="F15" s="152">
        <f t="shared" ref="F15:O15" si="3">$C$13*F14</f>
        <v>8116.9482000000007</v>
      </c>
      <c r="G15" s="152">
        <f t="shared" si="3"/>
        <v>8116.9482000000007</v>
      </c>
      <c r="H15" s="152">
        <f t="shared" si="3"/>
        <v>0</v>
      </c>
      <c r="I15" s="152">
        <f t="shared" si="3"/>
        <v>0</v>
      </c>
      <c r="J15" s="152">
        <f t="shared" si="3"/>
        <v>0</v>
      </c>
      <c r="K15" s="152">
        <f t="shared" si="3"/>
        <v>0</v>
      </c>
      <c r="L15" s="152">
        <f t="shared" si="3"/>
        <v>0</v>
      </c>
      <c r="M15" s="152">
        <f t="shared" si="3"/>
        <v>0</v>
      </c>
      <c r="N15" s="152">
        <f t="shared" si="3"/>
        <v>0</v>
      </c>
      <c r="O15" s="152">
        <f t="shared" si="3"/>
        <v>0</v>
      </c>
      <c r="Q15" s="153">
        <f>SUM(F15:O15)</f>
        <v>16233.896400000001</v>
      </c>
      <c r="T15" s="212"/>
    </row>
    <row r="16" spans="1:20" x14ac:dyDescent="0.25">
      <c r="A16" s="534">
        <v>5</v>
      </c>
      <c r="B16" s="535" t="s">
        <v>227</v>
      </c>
      <c r="C16" s="538">
        <f>'PLANILHA ORÇAMENTÁRIA'!C204</f>
        <v>6281.5723680000019</v>
      </c>
      <c r="D16" s="541">
        <f>C16/$C$47</f>
        <v>2.7357033702444192E-2</v>
      </c>
      <c r="F16" s="154"/>
      <c r="G16" s="154"/>
      <c r="H16" s="154"/>
      <c r="I16" s="154"/>
      <c r="J16" s="154"/>
      <c r="K16" s="154"/>
      <c r="L16" s="154"/>
      <c r="M16" s="154"/>
      <c r="N16" s="154"/>
      <c r="O16" s="157"/>
      <c r="Q16" s="155"/>
      <c r="T16" s="212"/>
    </row>
    <row r="17" spans="1:17" x14ac:dyDescent="0.25">
      <c r="A17" s="487"/>
      <c r="B17" s="536"/>
      <c r="C17" s="539"/>
      <c r="D17" s="542"/>
      <c r="F17" s="148">
        <v>0.5</v>
      </c>
      <c r="G17" s="148">
        <v>0.5</v>
      </c>
      <c r="H17" s="148">
        <v>0</v>
      </c>
      <c r="I17" s="148">
        <v>0</v>
      </c>
      <c r="J17" s="148">
        <v>0</v>
      </c>
      <c r="K17" s="148">
        <v>0</v>
      </c>
      <c r="L17" s="148">
        <v>0</v>
      </c>
      <c r="M17" s="148">
        <v>0</v>
      </c>
      <c r="N17" s="148">
        <v>0</v>
      </c>
      <c r="O17" s="149">
        <v>0</v>
      </c>
      <c r="Q17" s="150">
        <f>SUM(F17:O17)</f>
        <v>1</v>
      </c>
    </row>
    <row r="18" spans="1:17" ht="15.75" thickBot="1" x14ac:dyDescent="0.3">
      <c r="A18" s="488"/>
      <c r="B18" s="537"/>
      <c r="C18" s="540"/>
      <c r="D18" s="543"/>
      <c r="F18" s="152">
        <f t="shared" ref="F18:O18" si="4">$C$16*F17</f>
        <v>3140.786184000001</v>
      </c>
      <c r="G18" s="152">
        <f t="shared" si="4"/>
        <v>3140.786184000001</v>
      </c>
      <c r="H18" s="152">
        <f t="shared" si="4"/>
        <v>0</v>
      </c>
      <c r="I18" s="152">
        <f t="shared" si="4"/>
        <v>0</v>
      </c>
      <c r="J18" s="152">
        <f t="shared" si="4"/>
        <v>0</v>
      </c>
      <c r="K18" s="152">
        <f t="shared" si="4"/>
        <v>0</v>
      </c>
      <c r="L18" s="152">
        <f t="shared" si="4"/>
        <v>0</v>
      </c>
      <c r="M18" s="152">
        <f t="shared" si="4"/>
        <v>0</v>
      </c>
      <c r="N18" s="152">
        <f t="shared" si="4"/>
        <v>0</v>
      </c>
      <c r="O18" s="152">
        <f t="shared" si="4"/>
        <v>0</v>
      </c>
      <c r="Q18" s="153">
        <f>SUM(F18:O18)</f>
        <v>6281.5723680000019</v>
      </c>
    </row>
    <row r="19" spans="1:17" x14ac:dyDescent="0.25">
      <c r="A19" s="534">
        <v>6</v>
      </c>
      <c r="B19" s="535" t="s">
        <v>176</v>
      </c>
      <c r="C19" s="538">
        <f>'PLANILHA ORÇAMENTÁRIA'!C206</f>
        <v>63625.911306000009</v>
      </c>
      <c r="D19" s="541">
        <f>C19/$C$47</f>
        <v>0.27709880551788729</v>
      </c>
      <c r="F19" s="154"/>
      <c r="G19" s="154"/>
      <c r="H19" s="154"/>
      <c r="I19" s="154"/>
      <c r="J19" s="154"/>
      <c r="K19" s="154"/>
      <c r="L19" s="154"/>
      <c r="M19" s="154"/>
      <c r="N19" s="154"/>
      <c r="O19" s="157"/>
      <c r="Q19" s="155"/>
    </row>
    <row r="20" spans="1:17" x14ac:dyDescent="0.25">
      <c r="A20" s="487"/>
      <c r="B20" s="536"/>
      <c r="C20" s="539"/>
      <c r="D20" s="542"/>
      <c r="F20" s="148">
        <v>0.5</v>
      </c>
      <c r="G20" s="148">
        <v>0.5</v>
      </c>
      <c r="H20" s="148">
        <v>0</v>
      </c>
      <c r="I20" s="148">
        <v>0</v>
      </c>
      <c r="J20" s="148">
        <v>0</v>
      </c>
      <c r="K20" s="148">
        <v>0</v>
      </c>
      <c r="L20" s="148">
        <v>0</v>
      </c>
      <c r="M20" s="148">
        <v>0</v>
      </c>
      <c r="N20" s="148">
        <v>0</v>
      </c>
      <c r="O20" s="149">
        <v>0</v>
      </c>
      <c r="Q20" s="150">
        <f>SUM(F20:O20)</f>
        <v>1</v>
      </c>
    </row>
    <row r="21" spans="1:17" ht="15.75" thickBot="1" x14ac:dyDescent="0.3">
      <c r="A21" s="488"/>
      <c r="B21" s="537"/>
      <c r="C21" s="540"/>
      <c r="D21" s="543"/>
      <c r="F21" s="152">
        <f t="shared" ref="F21:O21" si="5">$C$19*F20</f>
        <v>31812.955653000005</v>
      </c>
      <c r="G21" s="152">
        <f t="shared" si="5"/>
        <v>31812.955653000005</v>
      </c>
      <c r="H21" s="152">
        <f t="shared" si="5"/>
        <v>0</v>
      </c>
      <c r="I21" s="152">
        <f t="shared" si="5"/>
        <v>0</v>
      </c>
      <c r="J21" s="152">
        <f t="shared" si="5"/>
        <v>0</v>
      </c>
      <c r="K21" s="152">
        <f t="shared" si="5"/>
        <v>0</v>
      </c>
      <c r="L21" s="152">
        <f t="shared" si="5"/>
        <v>0</v>
      </c>
      <c r="M21" s="152">
        <f t="shared" si="5"/>
        <v>0</v>
      </c>
      <c r="N21" s="152">
        <f t="shared" si="5"/>
        <v>0</v>
      </c>
      <c r="O21" s="152">
        <f t="shared" si="5"/>
        <v>0</v>
      </c>
      <c r="Q21" s="153">
        <f>SUM(F21:O21)</f>
        <v>63625.911306000009</v>
      </c>
    </row>
    <row r="22" spans="1:17" x14ac:dyDescent="0.25">
      <c r="A22" s="534">
        <v>7</v>
      </c>
      <c r="B22" s="535" t="s">
        <v>564</v>
      </c>
      <c r="C22" s="538">
        <f>'PLANILHA ORÇAMENTÁRIA'!C205</f>
        <v>4002.3343439999999</v>
      </c>
      <c r="D22" s="541">
        <f>C22/$C$47</f>
        <v>1.7430666897199045E-2</v>
      </c>
      <c r="F22" s="154"/>
      <c r="G22" s="154"/>
      <c r="H22" s="154"/>
      <c r="I22" s="154"/>
      <c r="J22" s="154"/>
      <c r="K22" s="154"/>
      <c r="L22" s="154"/>
      <c r="M22" s="154"/>
      <c r="N22" s="154"/>
      <c r="O22" s="157"/>
      <c r="Q22" s="155"/>
    </row>
    <row r="23" spans="1:17" x14ac:dyDescent="0.25">
      <c r="A23" s="487"/>
      <c r="B23" s="536"/>
      <c r="C23" s="539"/>
      <c r="D23" s="542"/>
      <c r="F23" s="148">
        <v>0.66700000000000004</v>
      </c>
      <c r="G23" s="148">
        <v>0.33300000000000002</v>
      </c>
      <c r="H23" s="148">
        <v>0</v>
      </c>
      <c r="I23" s="148">
        <v>0</v>
      </c>
      <c r="J23" s="148">
        <v>0</v>
      </c>
      <c r="K23" s="148">
        <v>0</v>
      </c>
      <c r="L23" s="148">
        <v>0</v>
      </c>
      <c r="M23" s="148">
        <v>0</v>
      </c>
      <c r="N23" s="148">
        <v>0</v>
      </c>
      <c r="O23" s="148">
        <v>0</v>
      </c>
      <c r="Q23" s="150">
        <f>SUM(F23:O23)</f>
        <v>1</v>
      </c>
    </row>
    <row r="24" spans="1:17" ht="15.75" thickBot="1" x14ac:dyDescent="0.3">
      <c r="A24" s="488"/>
      <c r="B24" s="537"/>
      <c r="C24" s="540"/>
      <c r="D24" s="543"/>
      <c r="F24" s="152">
        <f t="shared" ref="F24:O24" si="6">$C$22*F23</f>
        <v>2669.5570074480001</v>
      </c>
      <c r="G24" s="152">
        <f t="shared" si="6"/>
        <v>1332.777336552</v>
      </c>
      <c r="H24" s="152">
        <f t="shared" si="6"/>
        <v>0</v>
      </c>
      <c r="I24" s="152">
        <f t="shared" si="6"/>
        <v>0</v>
      </c>
      <c r="J24" s="152">
        <f t="shared" si="6"/>
        <v>0</v>
      </c>
      <c r="K24" s="152">
        <f t="shared" si="6"/>
        <v>0</v>
      </c>
      <c r="L24" s="152">
        <f t="shared" si="6"/>
        <v>0</v>
      </c>
      <c r="M24" s="152">
        <f t="shared" si="6"/>
        <v>0</v>
      </c>
      <c r="N24" s="152">
        <f t="shared" si="6"/>
        <v>0</v>
      </c>
      <c r="O24" s="152">
        <f t="shared" si="6"/>
        <v>0</v>
      </c>
      <c r="Q24" s="153">
        <f>SUM(F24:O24)</f>
        <v>4002.3343439999999</v>
      </c>
    </row>
    <row r="25" spans="1:17" x14ac:dyDescent="0.25">
      <c r="A25" s="534">
        <v>8</v>
      </c>
      <c r="B25" s="535" t="s">
        <v>174</v>
      </c>
      <c r="C25" s="538">
        <f>'PLANILHA ORÇAMENTÁRIA'!C208</f>
        <v>8407.8559650000007</v>
      </c>
      <c r="D25" s="541">
        <f>C25/$C$47</f>
        <v>3.6617264838267861E-2</v>
      </c>
      <c r="F25" s="154"/>
      <c r="G25" s="154"/>
      <c r="H25" s="154"/>
      <c r="I25" s="154"/>
      <c r="J25" s="154"/>
      <c r="K25" s="154"/>
      <c r="L25" s="154"/>
      <c r="M25" s="154"/>
      <c r="N25" s="154"/>
      <c r="O25" s="157"/>
      <c r="Q25" s="155"/>
    </row>
    <row r="26" spans="1:17" x14ac:dyDescent="0.25">
      <c r="A26" s="487"/>
      <c r="B26" s="536"/>
      <c r="C26" s="539"/>
      <c r="D26" s="542"/>
      <c r="F26" s="148">
        <v>0</v>
      </c>
      <c r="G26" s="148">
        <v>1</v>
      </c>
      <c r="H26" s="148">
        <v>0</v>
      </c>
      <c r="I26" s="148">
        <v>0</v>
      </c>
      <c r="J26" s="148">
        <v>0</v>
      </c>
      <c r="K26" s="148">
        <v>0</v>
      </c>
      <c r="L26" s="148">
        <v>0</v>
      </c>
      <c r="M26" s="148">
        <v>0</v>
      </c>
      <c r="N26" s="148">
        <v>0</v>
      </c>
      <c r="O26" s="149">
        <v>0</v>
      </c>
      <c r="Q26" s="150">
        <f>SUM(F26:O26)</f>
        <v>1</v>
      </c>
    </row>
    <row r="27" spans="1:17" ht="15.75" thickBot="1" x14ac:dyDescent="0.3">
      <c r="A27" s="488"/>
      <c r="B27" s="537"/>
      <c r="C27" s="540"/>
      <c r="D27" s="543"/>
      <c r="F27" s="152">
        <f t="shared" ref="F27:O27" si="7">$C$25*F26</f>
        <v>0</v>
      </c>
      <c r="G27" s="152">
        <f t="shared" si="7"/>
        <v>8407.8559650000007</v>
      </c>
      <c r="H27" s="152">
        <f t="shared" si="7"/>
        <v>0</v>
      </c>
      <c r="I27" s="152">
        <f t="shared" si="7"/>
        <v>0</v>
      </c>
      <c r="J27" s="152">
        <f t="shared" si="7"/>
        <v>0</v>
      </c>
      <c r="K27" s="152">
        <f t="shared" si="7"/>
        <v>0</v>
      </c>
      <c r="L27" s="152">
        <f t="shared" si="7"/>
        <v>0</v>
      </c>
      <c r="M27" s="152">
        <f t="shared" si="7"/>
        <v>0</v>
      </c>
      <c r="N27" s="152">
        <f t="shared" si="7"/>
        <v>0</v>
      </c>
      <c r="O27" s="152">
        <f t="shared" si="7"/>
        <v>0</v>
      </c>
      <c r="Q27" s="153">
        <f>SUM(F27:O27)</f>
        <v>8407.8559650000007</v>
      </c>
    </row>
    <row r="28" spans="1:17" x14ac:dyDescent="0.25">
      <c r="A28" s="534">
        <v>9</v>
      </c>
      <c r="B28" s="535" t="s">
        <v>555</v>
      </c>
      <c r="C28" s="538">
        <f>'PLANILHA ORÇAMENTÁRIA'!C199</f>
        <v>18936.810522</v>
      </c>
      <c r="D28" s="541">
        <f>C28/$C$47</f>
        <v>8.2472179466762705E-2</v>
      </c>
      <c r="F28" s="154"/>
      <c r="G28" s="154"/>
      <c r="H28" s="154"/>
      <c r="I28" s="154"/>
      <c r="J28" s="154"/>
      <c r="K28" s="154"/>
      <c r="L28" s="154"/>
      <c r="M28" s="154"/>
      <c r="N28" s="154"/>
      <c r="O28" s="157"/>
      <c r="Q28" s="155"/>
    </row>
    <row r="29" spans="1:17" x14ac:dyDescent="0.25">
      <c r="A29" s="487"/>
      <c r="B29" s="536"/>
      <c r="C29" s="539"/>
      <c r="D29" s="542"/>
      <c r="F29" s="148">
        <v>0.5</v>
      </c>
      <c r="G29" s="148">
        <v>0.5</v>
      </c>
      <c r="H29" s="148">
        <v>0</v>
      </c>
      <c r="I29" s="148">
        <v>0</v>
      </c>
      <c r="J29" s="148">
        <v>0</v>
      </c>
      <c r="K29" s="148">
        <v>0</v>
      </c>
      <c r="L29" s="148">
        <v>0</v>
      </c>
      <c r="M29" s="148">
        <v>0</v>
      </c>
      <c r="N29" s="148">
        <v>0</v>
      </c>
      <c r="O29" s="149">
        <v>0</v>
      </c>
      <c r="Q29" s="150">
        <f>SUM(F29:O29)</f>
        <v>1</v>
      </c>
    </row>
    <row r="30" spans="1:17" ht="15.75" thickBot="1" x14ac:dyDescent="0.3">
      <c r="A30" s="488"/>
      <c r="B30" s="537"/>
      <c r="C30" s="540"/>
      <c r="D30" s="543"/>
      <c r="F30" s="152">
        <f t="shared" ref="F30:O30" si="8">$C$28*F29</f>
        <v>9468.4052609999999</v>
      </c>
      <c r="G30" s="152">
        <f t="shared" si="8"/>
        <v>9468.4052609999999</v>
      </c>
      <c r="H30" s="152">
        <f t="shared" si="8"/>
        <v>0</v>
      </c>
      <c r="I30" s="152">
        <f t="shared" si="8"/>
        <v>0</v>
      </c>
      <c r="J30" s="152">
        <f t="shared" si="8"/>
        <v>0</v>
      </c>
      <c r="K30" s="152">
        <f t="shared" si="8"/>
        <v>0</v>
      </c>
      <c r="L30" s="152">
        <f t="shared" si="8"/>
        <v>0</v>
      </c>
      <c r="M30" s="152">
        <f t="shared" si="8"/>
        <v>0</v>
      </c>
      <c r="N30" s="152">
        <f t="shared" si="8"/>
        <v>0</v>
      </c>
      <c r="O30" s="152">
        <f t="shared" si="8"/>
        <v>0</v>
      </c>
      <c r="Q30" s="153">
        <f>SUM(F30:O30)</f>
        <v>18936.810522</v>
      </c>
    </row>
    <row r="31" spans="1:17" x14ac:dyDescent="0.25">
      <c r="A31" s="534">
        <v>10</v>
      </c>
      <c r="B31" s="535" t="s">
        <v>557</v>
      </c>
      <c r="C31" s="538">
        <f>'PLANILHA ORÇAMENTÁRIA'!C202</f>
        <v>14360.650064399999</v>
      </c>
      <c r="D31" s="541">
        <f>C31/$C$47</f>
        <v>6.2542428039539216E-2</v>
      </c>
      <c r="F31" s="154"/>
      <c r="G31" s="154"/>
      <c r="H31" s="154"/>
      <c r="I31" s="154"/>
      <c r="J31" s="154"/>
      <c r="K31" s="154"/>
      <c r="L31" s="154"/>
      <c r="M31" s="154"/>
      <c r="N31" s="154"/>
      <c r="O31" s="157"/>
      <c r="Q31" s="155"/>
    </row>
    <row r="32" spans="1:17" x14ac:dyDescent="0.25">
      <c r="A32" s="487"/>
      <c r="B32" s="536"/>
      <c r="C32" s="539"/>
      <c r="D32" s="542"/>
      <c r="F32" s="148">
        <v>0</v>
      </c>
      <c r="G32" s="148">
        <v>1</v>
      </c>
      <c r="H32" s="148">
        <v>0</v>
      </c>
      <c r="I32" s="148">
        <v>0</v>
      </c>
      <c r="J32" s="148">
        <v>0</v>
      </c>
      <c r="K32" s="148">
        <v>0</v>
      </c>
      <c r="L32" s="148">
        <v>0</v>
      </c>
      <c r="M32" s="148">
        <v>0</v>
      </c>
      <c r="N32" s="148">
        <v>0</v>
      </c>
      <c r="O32" s="149">
        <v>0</v>
      </c>
      <c r="Q32" s="150">
        <f>SUM(F32:O32)</f>
        <v>1</v>
      </c>
    </row>
    <row r="33" spans="1:17" ht="15.75" thickBot="1" x14ac:dyDescent="0.3">
      <c r="A33" s="488"/>
      <c r="B33" s="537"/>
      <c r="C33" s="540"/>
      <c r="D33" s="543"/>
      <c r="F33" s="152">
        <f t="shared" ref="F33:O33" si="9">$C$31*F32</f>
        <v>0</v>
      </c>
      <c r="G33" s="152">
        <f t="shared" si="9"/>
        <v>14360.650064399999</v>
      </c>
      <c r="H33" s="152">
        <f t="shared" si="9"/>
        <v>0</v>
      </c>
      <c r="I33" s="152">
        <f t="shared" si="9"/>
        <v>0</v>
      </c>
      <c r="J33" s="152">
        <f t="shared" si="9"/>
        <v>0</v>
      </c>
      <c r="K33" s="152">
        <f t="shared" si="9"/>
        <v>0</v>
      </c>
      <c r="L33" s="152">
        <f t="shared" si="9"/>
        <v>0</v>
      </c>
      <c r="M33" s="152">
        <f t="shared" si="9"/>
        <v>0</v>
      </c>
      <c r="N33" s="152">
        <f t="shared" si="9"/>
        <v>0</v>
      </c>
      <c r="O33" s="152">
        <f t="shared" si="9"/>
        <v>0</v>
      </c>
      <c r="Q33" s="153">
        <f>SUM(F33:O33)</f>
        <v>14360.650064399999</v>
      </c>
    </row>
    <row r="34" spans="1:17" x14ac:dyDescent="0.25">
      <c r="A34" s="534">
        <v>11</v>
      </c>
      <c r="B34" s="535" t="s">
        <v>558</v>
      </c>
      <c r="C34" s="538">
        <f>'PLANILHA ORÇAMENTÁRIA'!C203</f>
        <v>2279.1736139999998</v>
      </c>
      <c r="D34" s="541">
        <f>C34/$C$47</f>
        <v>9.9260862916352392E-3</v>
      </c>
      <c r="F34" s="154"/>
      <c r="G34" s="154"/>
      <c r="H34" s="154"/>
      <c r="I34" s="154"/>
      <c r="J34" s="154"/>
      <c r="K34" s="154"/>
      <c r="L34" s="154"/>
      <c r="M34" s="154"/>
      <c r="N34" s="154"/>
      <c r="O34" s="157"/>
      <c r="Q34" s="155"/>
    </row>
    <row r="35" spans="1:17" x14ac:dyDescent="0.25">
      <c r="A35" s="487"/>
      <c r="B35" s="536"/>
      <c r="C35" s="539"/>
      <c r="D35" s="542"/>
      <c r="F35" s="148">
        <v>0</v>
      </c>
      <c r="G35" s="148">
        <v>1</v>
      </c>
      <c r="H35" s="148">
        <v>0</v>
      </c>
      <c r="I35" s="148">
        <v>0</v>
      </c>
      <c r="J35" s="148">
        <v>0</v>
      </c>
      <c r="K35" s="148">
        <v>0</v>
      </c>
      <c r="L35" s="148">
        <v>0</v>
      </c>
      <c r="M35" s="148">
        <v>0</v>
      </c>
      <c r="N35" s="148">
        <v>0</v>
      </c>
      <c r="O35" s="149">
        <v>0</v>
      </c>
      <c r="Q35" s="150">
        <f>SUM(F35:O35)</f>
        <v>1</v>
      </c>
    </row>
    <row r="36" spans="1:17" ht="15.75" thickBot="1" x14ac:dyDescent="0.3">
      <c r="A36" s="488"/>
      <c r="B36" s="537"/>
      <c r="C36" s="540"/>
      <c r="D36" s="543"/>
      <c r="F36" s="152">
        <f t="shared" ref="F36:O36" si="10">$C$34*F35</f>
        <v>0</v>
      </c>
      <c r="G36" s="152">
        <f t="shared" si="10"/>
        <v>2279.1736139999998</v>
      </c>
      <c r="H36" s="152">
        <f t="shared" si="10"/>
        <v>0</v>
      </c>
      <c r="I36" s="152">
        <f t="shared" si="10"/>
        <v>0</v>
      </c>
      <c r="J36" s="152">
        <f t="shared" si="10"/>
        <v>0</v>
      </c>
      <c r="K36" s="152">
        <f t="shared" si="10"/>
        <v>0</v>
      </c>
      <c r="L36" s="152">
        <f t="shared" si="10"/>
        <v>0</v>
      </c>
      <c r="M36" s="152">
        <f t="shared" si="10"/>
        <v>0</v>
      </c>
      <c r="N36" s="152">
        <f t="shared" si="10"/>
        <v>0</v>
      </c>
      <c r="O36" s="152">
        <f t="shared" si="10"/>
        <v>0</v>
      </c>
      <c r="Q36" s="153">
        <f>SUM(F36:O36)</f>
        <v>2279.1736139999998</v>
      </c>
    </row>
    <row r="37" spans="1:17" x14ac:dyDescent="0.25">
      <c r="A37" s="534">
        <v>12</v>
      </c>
      <c r="B37" s="535" t="s">
        <v>199</v>
      </c>
      <c r="C37" s="538">
        <f>'PLANILHA ORÇAMENTÁRIA'!C207</f>
        <v>346.13934</v>
      </c>
      <c r="D37" s="541">
        <f>C37/$C$47</f>
        <v>1.507480139584342E-3</v>
      </c>
      <c r="F37" s="154"/>
      <c r="G37" s="154"/>
      <c r="H37" s="154"/>
      <c r="I37" s="154"/>
      <c r="J37" s="154"/>
      <c r="K37" s="154"/>
      <c r="L37" s="154"/>
      <c r="M37" s="154"/>
      <c r="N37" s="154"/>
      <c r="O37" s="157"/>
      <c r="Q37" s="155"/>
    </row>
    <row r="38" spans="1:17" x14ac:dyDescent="0.25">
      <c r="A38" s="487"/>
      <c r="B38" s="536"/>
      <c r="C38" s="539"/>
      <c r="D38" s="542"/>
      <c r="F38" s="148">
        <v>0</v>
      </c>
      <c r="G38" s="148">
        <v>1</v>
      </c>
      <c r="H38" s="148">
        <v>0</v>
      </c>
      <c r="I38" s="148">
        <v>0</v>
      </c>
      <c r="J38" s="148">
        <v>0</v>
      </c>
      <c r="K38" s="148">
        <v>0</v>
      </c>
      <c r="L38" s="148">
        <v>0</v>
      </c>
      <c r="M38" s="148">
        <v>0</v>
      </c>
      <c r="N38" s="148">
        <v>0</v>
      </c>
      <c r="O38" s="149">
        <v>0</v>
      </c>
      <c r="Q38" s="150">
        <f>SUM(F38:O38)</f>
        <v>1</v>
      </c>
    </row>
    <row r="39" spans="1:17" ht="15.75" thickBot="1" x14ac:dyDescent="0.3">
      <c r="A39" s="488"/>
      <c r="B39" s="537"/>
      <c r="C39" s="540"/>
      <c r="D39" s="543"/>
      <c r="F39" s="152">
        <f t="shared" ref="F39:O39" si="11">$C$37*F38</f>
        <v>0</v>
      </c>
      <c r="G39" s="152">
        <f t="shared" si="11"/>
        <v>346.13934</v>
      </c>
      <c r="H39" s="152">
        <f t="shared" si="11"/>
        <v>0</v>
      </c>
      <c r="I39" s="152">
        <f t="shared" si="11"/>
        <v>0</v>
      </c>
      <c r="J39" s="152">
        <f t="shared" si="11"/>
        <v>0</v>
      </c>
      <c r="K39" s="152">
        <f t="shared" si="11"/>
        <v>0</v>
      </c>
      <c r="L39" s="152">
        <f t="shared" si="11"/>
        <v>0</v>
      </c>
      <c r="M39" s="152">
        <f t="shared" si="11"/>
        <v>0</v>
      </c>
      <c r="N39" s="152">
        <f t="shared" si="11"/>
        <v>0</v>
      </c>
      <c r="O39" s="152">
        <f t="shared" si="11"/>
        <v>0</v>
      </c>
      <c r="Q39" s="153">
        <f>SUM(F39:O39)</f>
        <v>346.13934</v>
      </c>
    </row>
    <row r="40" spans="1:17" x14ac:dyDescent="0.25">
      <c r="A40" s="534">
        <v>13</v>
      </c>
      <c r="B40" s="535" t="s">
        <v>235</v>
      </c>
      <c r="C40" s="538">
        <f>'PLANILHA ORÇAMENTÁRIA'!C198</f>
        <v>42432.341850000004</v>
      </c>
      <c r="D40" s="541">
        <f>C40/$C$47</f>
        <v>0.18479815849573331</v>
      </c>
      <c r="F40" s="154"/>
      <c r="G40" s="154"/>
      <c r="H40" s="154"/>
      <c r="I40" s="154"/>
      <c r="J40" s="154"/>
      <c r="K40" s="154"/>
      <c r="L40" s="154"/>
      <c r="M40" s="154"/>
      <c r="N40" s="154"/>
      <c r="O40" s="157"/>
      <c r="Q40" s="155"/>
    </row>
    <row r="41" spans="1:17" x14ac:dyDescent="0.25">
      <c r="A41" s="487"/>
      <c r="B41" s="536"/>
      <c r="C41" s="539"/>
      <c r="D41" s="542"/>
      <c r="F41" s="148">
        <v>0.2</v>
      </c>
      <c r="G41" s="148">
        <v>0.8</v>
      </c>
      <c r="H41" s="148">
        <v>0</v>
      </c>
      <c r="I41" s="148">
        <v>0</v>
      </c>
      <c r="J41" s="148">
        <v>0</v>
      </c>
      <c r="K41" s="148">
        <v>0</v>
      </c>
      <c r="L41" s="148">
        <v>0</v>
      </c>
      <c r="M41" s="148">
        <v>0</v>
      </c>
      <c r="N41" s="148">
        <v>0</v>
      </c>
      <c r="O41" s="149">
        <v>0</v>
      </c>
      <c r="Q41" s="150">
        <f>SUM(F41:O41)</f>
        <v>1</v>
      </c>
    </row>
    <row r="42" spans="1:17" ht="15.75" thickBot="1" x14ac:dyDescent="0.3">
      <c r="A42" s="488"/>
      <c r="B42" s="537"/>
      <c r="C42" s="540"/>
      <c r="D42" s="543"/>
      <c r="F42" s="152">
        <f t="shared" ref="F42:O42" si="12">$C$40*F41</f>
        <v>8486.4683700000005</v>
      </c>
      <c r="G42" s="152">
        <f t="shared" si="12"/>
        <v>33945.873480000002</v>
      </c>
      <c r="H42" s="152">
        <f t="shared" si="12"/>
        <v>0</v>
      </c>
      <c r="I42" s="152">
        <f t="shared" si="12"/>
        <v>0</v>
      </c>
      <c r="J42" s="152">
        <f t="shared" si="12"/>
        <v>0</v>
      </c>
      <c r="K42" s="152">
        <f t="shared" si="12"/>
        <v>0</v>
      </c>
      <c r="L42" s="152">
        <f t="shared" si="12"/>
        <v>0</v>
      </c>
      <c r="M42" s="152">
        <f t="shared" si="12"/>
        <v>0</v>
      </c>
      <c r="N42" s="152">
        <f t="shared" si="12"/>
        <v>0</v>
      </c>
      <c r="O42" s="152">
        <f t="shared" si="12"/>
        <v>0</v>
      </c>
      <c r="Q42" s="153">
        <f>SUM(F42:O42)</f>
        <v>42432.341850000004</v>
      </c>
    </row>
    <row r="43" spans="1:17" x14ac:dyDescent="0.25">
      <c r="A43" s="534">
        <v>14</v>
      </c>
      <c r="B43" s="535" t="s">
        <v>246</v>
      </c>
      <c r="C43" s="538">
        <f>'PLANILHA ORÇAMENTÁRIA'!C209</f>
        <v>1468.4191800000001</v>
      </c>
      <c r="D43" s="541">
        <f>C43/$C$47</f>
        <v>6.3951492784227451E-3</v>
      </c>
      <c r="F43" s="154"/>
      <c r="G43" s="154"/>
      <c r="H43" s="154"/>
      <c r="I43" s="154"/>
      <c r="J43" s="154"/>
      <c r="K43" s="154"/>
      <c r="L43" s="154"/>
      <c r="M43" s="154"/>
      <c r="N43" s="154"/>
      <c r="O43" s="157"/>
      <c r="Q43" s="155"/>
    </row>
    <row r="44" spans="1:17" x14ac:dyDescent="0.25">
      <c r="A44" s="487"/>
      <c r="B44" s="536"/>
      <c r="C44" s="539"/>
      <c r="D44" s="542"/>
      <c r="F44" s="148">
        <v>0.5</v>
      </c>
      <c r="G44" s="148">
        <v>0.5</v>
      </c>
      <c r="H44" s="148">
        <v>0</v>
      </c>
      <c r="I44" s="148">
        <v>0</v>
      </c>
      <c r="J44" s="148">
        <v>0</v>
      </c>
      <c r="K44" s="148">
        <v>0</v>
      </c>
      <c r="L44" s="148">
        <v>0</v>
      </c>
      <c r="M44" s="148">
        <v>0</v>
      </c>
      <c r="N44" s="148">
        <v>0</v>
      </c>
      <c r="O44" s="149">
        <v>0</v>
      </c>
      <c r="Q44" s="150">
        <f>SUM(F44:O44)</f>
        <v>1</v>
      </c>
    </row>
    <row r="45" spans="1:17" ht="15.75" thickBot="1" x14ac:dyDescent="0.3">
      <c r="A45" s="488"/>
      <c r="B45" s="537"/>
      <c r="C45" s="540"/>
      <c r="D45" s="543"/>
      <c r="F45" s="158">
        <f t="shared" ref="F45:O45" si="13">$C$43*F44</f>
        <v>734.20959000000005</v>
      </c>
      <c r="G45" s="158">
        <f t="shared" si="13"/>
        <v>734.20959000000005</v>
      </c>
      <c r="H45" s="158">
        <f t="shared" si="13"/>
        <v>0</v>
      </c>
      <c r="I45" s="158">
        <f t="shared" si="13"/>
        <v>0</v>
      </c>
      <c r="J45" s="158">
        <f t="shared" si="13"/>
        <v>0</v>
      </c>
      <c r="K45" s="158">
        <f t="shared" si="13"/>
        <v>0</v>
      </c>
      <c r="L45" s="158">
        <f t="shared" si="13"/>
        <v>0</v>
      </c>
      <c r="M45" s="158">
        <f t="shared" si="13"/>
        <v>0</v>
      </c>
      <c r="N45" s="158">
        <f t="shared" si="13"/>
        <v>0</v>
      </c>
      <c r="O45" s="158">
        <f t="shared" si="13"/>
        <v>0</v>
      </c>
      <c r="Q45" s="159">
        <f>SUM(F45:O45)</f>
        <v>1468.4191800000001</v>
      </c>
    </row>
    <row r="46" spans="1:17" ht="15.75" thickBot="1" x14ac:dyDescent="0.3"/>
    <row r="47" spans="1:17" x14ac:dyDescent="0.25">
      <c r="A47" s="534"/>
      <c r="B47" s="547" t="s">
        <v>543</v>
      </c>
      <c r="C47" s="538">
        <f>SUM(C4:C45)</f>
        <v>229614.52752236</v>
      </c>
      <c r="D47" s="160" t="s">
        <v>544</v>
      </c>
      <c r="F47" s="161">
        <f t="shared" ref="F47:O47" si="14">F48/$C$47</f>
        <v>0.4166754254444146</v>
      </c>
      <c r="G47" s="161">
        <f t="shared" si="14"/>
        <v>0.5833245745555854</v>
      </c>
      <c r="H47" s="161">
        <f t="shared" si="14"/>
        <v>0</v>
      </c>
      <c r="I47" s="161">
        <f t="shared" si="14"/>
        <v>0</v>
      </c>
      <c r="J47" s="161">
        <f t="shared" si="14"/>
        <v>0</v>
      </c>
      <c r="K47" s="161">
        <f t="shared" si="14"/>
        <v>0</v>
      </c>
      <c r="L47" s="161">
        <f t="shared" si="14"/>
        <v>0</v>
      </c>
      <c r="M47" s="161">
        <f t="shared" si="14"/>
        <v>0</v>
      </c>
      <c r="N47" s="161">
        <f t="shared" si="14"/>
        <v>0</v>
      </c>
      <c r="O47" s="161">
        <f t="shared" si="14"/>
        <v>0</v>
      </c>
      <c r="Q47" s="162">
        <f>SUM(F47:O47)</f>
        <v>1</v>
      </c>
    </row>
    <row r="48" spans="1:17" ht="15.75" thickBot="1" x14ac:dyDescent="0.3">
      <c r="A48" s="488"/>
      <c r="B48" s="548"/>
      <c r="C48" s="540"/>
      <c r="D48" s="163" t="s">
        <v>545</v>
      </c>
      <c r="F48" s="211">
        <f>SUM(F6,F9,F12,F15,F18,F21,F27,F30,F36,F39,F42,F45,F33,F24)</f>
        <v>95674.730943597606</v>
      </c>
      <c r="G48" s="211">
        <f>SUM(G6,G9,G12,G15,G18,G21,G27,G30,G36,G39,G42,G45,G33,G24,)</f>
        <v>133939.79657876241</v>
      </c>
      <c r="H48" s="211">
        <f t="shared" ref="H48:O48" si="15">SUM(H6,H9,H12,H15,H18,H21,H27,H30,H36,H39,H42,H45)</f>
        <v>0</v>
      </c>
      <c r="I48" s="211">
        <f t="shared" si="15"/>
        <v>0</v>
      </c>
      <c r="J48" s="211">
        <f t="shared" si="15"/>
        <v>0</v>
      </c>
      <c r="K48" s="211">
        <f t="shared" si="15"/>
        <v>0</v>
      </c>
      <c r="L48" s="211">
        <f t="shared" si="15"/>
        <v>0</v>
      </c>
      <c r="M48" s="211">
        <f t="shared" si="15"/>
        <v>0</v>
      </c>
      <c r="N48" s="211">
        <f t="shared" si="15"/>
        <v>0</v>
      </c>
      <c r="O48" s="211">
        <f t="shared" si="15"/>
        <v>0</v>
      </c>
      <c r="Q48" s="210">
        <f>SUM(F48:O48)</f>
        <v>229614.52752236003</v>
      </c>
    </row>
    <row r="49" spans="1:15" x14ac:dyDescent="0.25">
      <c r="A49" s="534"/>
      <c r="B49" s="547" t="s">
        <v>546</v>
      </c>
      <c r="C49" s="538">
        <f>C47</f>
        <v>229614.52752236</v>
      </c>
      <c r="D49" s="160" t="s">
        <v>544</v>
      </c>
      <c r="F49" s="164">
        <f>F47</f>
        <v>0.4166754254444146</v>
      </c>
      <c r="G49" s="164">
        <f>SUM(F47:G47)</f>
        <v>1</v>
      </c>
      <c r="H49" s="164">
        <v>0</v>
      </c>
      <c r="I49" s="164">
        <v>0</v>
      </c>
      <c r="J49" s="164">
        <v>0</v>
      </c>
      <c r="K49" s="164">
        <v>0</v>
      </c>
      <c r="L49" s="164">
        <v>0</v>
      </c>
      <c r="M49" s="164">
        <v>0</v>
      </c>
      <c r="N49" s="164">
        <v>0</v>
      </c>
      <c r="O49" s="164">
        <v>0</v>
      </c>
    </row>
    <row r="50" spans="1:15" ht="15.75" thickBot="1" x14ac:dyDescent="0.3">
      <c r="A50" s="488"/>
      <c r="B50" s="548"/>
      <c r="C50" s="540"/>
      <c r="D50" s="163" t="s">
        <v>545</v>
      </c>
      <c r="F50" s="165">
        <f>F48</f>
        <v>95674.730943597606</v>
      </c>
      <c r="G50" s="165">
        <f>SUM(F48:G48)</f>
        <v>229614.52752236003</v>
      </c>
      <c r="H50" s="165">
        <v>0</v>
      </c>
      <c r="I50" s="165">
        <v>0</v>
      </c>
      <c r="J50" s="165">
        <v>0</v>
      </c>
      <c r="K50" s="165">
        <v>0</v>
      </c>
      <c r="L50" s="165">
        <v>0</v>
      </c>
      <c r="M50" s="165">
        <v>0</v>
      </c>
      <c r="N50" s="165">
        <v>0</v>
      </c>
      <c r="O50" s="165">
        <v>0</v>
      </c>
    </row>
  </sheetData>
  <mergeCells count="63">
    <mergeCell ref="B7:B9"/>
    <mergeCell ref="A7:A9"/>
    <mergeCell ref="D7:D9"/>
    <mergeCell ref="B4:B6"/>
    <mergeCell ref="A4:A6"/>
    <mergeCell ref="C4:C6"/>
    <mergeCell ref="D4:D6"/>
    <mergeCell ref="C7:C9"/>
    <mergeCell ref="B10:B12"/>
    <mergeCell ref="B13:B15"/>
    <mergeCell ref="A10:A12"/>
    <mergeCell ref="A13:A15"/>
    <mergeCell ref="B16:B18"/>
    <mergeCell ref="A16:A18"/>
    <mergeCell ref="C16:C18"/>
    <mergeCell ref="B40:B42"/>
    <mergeCell ref="A40:A42"/>
    <mergeCell ref="B43:B45"/>
    <mergeCell ref="A43:A45"/>
    <mergeCell ref="B31:B33"/>
    <mergeCell ref="A31:A33"/>
    <mergeCell ref="B34:B36"/>
    <mergeCell ref="A34:A36"/>
    <mergeCell ref="B37:B39"/>
    <mergeCell ref="B19:B21"/>
    <mergeCell ref="A19:A21"/>
    <mergeCell ref="B25:B27"/>
    <mergeCell ref="A25:A27"/>
    <mergeCell ref="B28:B30"/>
    <mergeCell ref="A28:A30"/>
    <mergeCell ref="A49:A50"/>
    <mergeCell ref="B47:B48"/>
    <mergeCell ref="B49:B50"/>
    <mergeCell ref="A47:A48"/>
    <mergeCell ref="C49:C50"/>
    <mergeCell ref="D10:D12"/>
    <mergeCell ref="D13:D15"/>
    <mergeCell ref="D16:D18"/>
    <mergeCell ref="D19:D21"/>
    <mergeCell ref="D25:D27"/>
    <mergeCell ref="C10:C12"/>
    <mergeCell ref="C13:C15"/>
    <mergeCell ref="A1:Q1"/>
    <mergeCell ref="C47:C48"/>
    <mergeCell ref="C37:C39"/>
    <mergeCell ref="A37:A39"/>
    <mergeCell ref="C19:C21"/>
    <mergeCell ref="C25:C27"/>
    <mergeCell ref="C28:C30"/>
    <mergeCell ref="C31:C33"/>
    <mergeCell ref="C34:C36"/>
    <mergeCell ref="C40:C42"/>
    <mergeCell ref="C43:C45"/>
    <mergeCell ref="D28:D30"/>
    <mergeCell ref="D31:D33"/>
    <mergeCell ref="D34:D36"/>
    <mergeCell ref="A22:A24"/>
    <mergeCell ref="B22:B24"/>
    <mergeCell ref="C22:C24"/>
    <mergeCell ref="D22:D24"/>
    <mergeCell ref="D43:D45"/>
    <mergeCell ref="D37:D39"/>
    <mergeCell ref="D40:D4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5</vt:i4>
      </vt:variant>
    </vt:vector>
  </HeadingPairs>
  <TitlesOfParts>
    <vt:vector size="12" baseType="lpstr">
      <vt:lpstr>PLANILHA ORÇAMENTÁRIA</vt:lpstr>
      <vt:lpstr>BDI</vt:lpstr>
      <vt:lpstr>ENCARGOS SOCIAIS</vt:lpstr>
      <vt:lpstr>COMPOSIÇÕES EDIT</vt:lpstr>
      <vt:lpstr>COTAÇÕES</vt:lpstr>
      <vt:lpstr>CRONOGRAMA EST.</vt:lpstr>
      <vt:lpstr>CRONOGRAMA FÍSICO-F EST.</vt:lpstr>
      <vt:lpstr>BDI!Area_de_impressao</vt:lpstr>
      <vt:lpstr>'COMPOSIÇÕES EDIT'!Area_de_impressao</vt:lpstr>
      <vt:lpstr>COTAÇÕES!Area_de_impressao</vt:lpstr>
      <vt:lpstr>'ENCARGOS SOCIAIS'!Area_de_impressao</vt:lpstr>
      <vt:lpstr>'PLANILHA ORÇAMENTÁRIA'!Area_de_impressao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Todeschini</dc:creator>
  <cp:lastModifiedBy>Juliano Gessele</cp:lastModifiedBy>
  <cp:lastPrinted>2022-04-20T20:22:00Z</cp:lastPrinted>
  <dcterms:created xsi:type="dcterms:W3CDTF">2019-10-11T16:59:38Z</dcterms:created>
  <dcterms:modified xsi:type="dcterms:W3CDTF">2022-11-03T15:11:00Z</dcterms:modified>
</cp:coreProperties>
</file>